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07"/>
  <workbookPr codeName="ThisWorkbook" defaultThemeVersion="124226"/>
  <mc:AlternateContent xmlns:mc="http://schemas.openxmlformats.org/markup-compatibility/2006">
    <mc:Choice Requires="x15">
      <x15ac:absPath xmlns:x15ac="http://schemas.microsoft.com/office/spreadsheetml/2010/11/ac" url="P:\BB Dupont 1409 Public Share\SRW SALES\Engineered Products\Submar\Design &amp; Specifications\"/>
    </mc:Choice>
  </mc:AlternateContent>
  <xr:revisionPtr revIDLastSave="0" documentId="8_{CC0B7000-0EE7-42F4-AA0A-D62A7525DB3B}" xr6:coauthVersionLast="47" xr6:coauthVersionMax="47" xr10:uidLastSave="{00000000-0000-0000-0000-000000000000}"/>
  <workbookProtection workbookAlgorithmName="SHA-512" workbookHashValue="tI7fj/zGfeqKjDWTQDeGdg7B54sV45C4DtqmxN6gSuC7BPTTsbzLmvBjDF0CwEJwCgP7zt2xkrDgXDUEbr2zTg==" workbookSaltValue="ufMLQCDzZV9dU4z6AYf/uA==" workbookSpinCount="100000" lockStructure="1"/>
  <bookViews>
    <workbookView xWindow="0" yWindow="0" windowWidth="19200" windowHeight="6350" firstSheet="5" activeTab="5" xr2:uid="{00000000-000D-0000-FFFF-FFFF00000000}"/>
  </bookViews>
  <sheets>
    <sheet name="Instructions" sheetId="5" r:id="rId1"/>
    <sheet name="0. Project Details" sheetId="7" r:id="rId2"/>
    <sheet name="1. Block Properties" sheetId="2" r:id="rId3"/>
    <sheet name="2. Hydraulic Stability" sheetId="3" r:id="rId4"/>
    <sheet name="3a Shear Velocity - Channel" sheetId="1" r:id="rId5"/>
    <sheet name="3b Shear Velocity - Overtopping" sheetId="4" r:id="rId6"/>
    <sheet name="4. Filter Design" sheetId="10" r:id="rId7"/>
    <sheet name="5. Riprap Hydraulic Stability" sheetId="9" r:id="rId8"/>
    <sheet name="References" sheetId="6" r:id="rId9"/>
  </sheets>
  <definedNames>
    <definedName name="Condition">'4. Filter Design'!$D$61</definedName>
    <definedName name="_xlnm.Print_Area" localSheetId="1">'0. Project Details'!$A$1:$K$53</definedName>
    <definedName name="_xlnm.Print_Area" localSheetId="2">'1. Block Properties'!$A$1:$G$53</definedName>
    <definedName name="_xlnm.Print_Area" localSheetId="3">'2. Hydraulic Stability'!$A$1:$M$53</definedName>
    <definedName name="_xlnm.Print_Area" localSheetId="4">'3a Shear Velocity - Channel'!$A$1:$P$55</definedName>
    <definedName name="_xlnm.Print_Area" localSheetId="5">'3b Shear Velocity - Overtopping'!$A$1:$P$53</definedName>
    <definedName name="_xlnm.Print_Area" localSheetId="6">'4. Filter Design'!$A$1:$M$91</definedName>
    <definedName name="_xlnm.Print_Area" localSheetId="7">'5. Riprap Hydraulic Stability'!$A$1:$L$56</definedName>
    <definedName name="_xlnm.Print_Area" localSheetId="0">Instructions!$A$1:$F$56</definedName>
    <definedName name="_xlnm.Print_Area" localSheetId="8">References!$A$1:$F$51</definedName>
    <definedName name="_xlnm.Print_Titles" localSheetId="1">'0. Project Details'!$1:$10</definedName>
    <definedName name="_xlnm.Print_Titles" localSheetId="6">'4. Filter Design'!$1:$6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8" i="7" l="1"/>
  <c r="A29" i="2" l="1"/>
  <c r="A21" i="2" l="1"/>
  <c r="A20" i="2"/>
  <c r="C5" i="10" l="1"/>
  <c r="C4" i="10"/>
  <c r="C4" i="1"/>
  <c r="C3" i="10"/>
  <c r="C2" i="10"/>
  <c r="C2" i="3"/>
  <c r="C1" i="10"/>
  <c r="C1" i="3"/>
  <c r="F32" i="10"/>
  <c r="H32" i="10" s="1"/>
  <c r="E34" i="10" s="1"/>
  <c r="B73" i="10"/>
  <c r="B72" i="10"/>
  <c r="J72" i="10" s="1"/>
  <c r="B70" i="10"/>
  <c r="J70" i="10" s="1"/>
  <c r="B68" i="10"/>
  <c r="J68" i="10" s="1"/>
  <c r="B66" i="10"/>
  <c r="J66" i="10" s="1"/>
  <c r="J56" i="10"/>
  <c r="F44" i="10"/>
  <c r="J29" i="10"/>
  <c r="D29" i="10"/>
  <c r="J28" i="10"/>
  <c r="D28" i="10"/>
  <c r="F28" i="10" l="1"/>
  <c r="L28" i="10"/>
  <c r="F72" i="10"/>
  <c r="H66" i="10"/>
  <c r="H68" i="10"/>
  <c r="H70" i="10"/>
  <c r="H72" i="10"/>
  <c r="F66" i="10"/>
  <c r="F68" i="10"/>
  <c r="F70" i="10"/>
  <c r="C5" i="3" l="1"/>
  <c r="C5" i="1"/>
  <c r="D5" i="4"/>
  <c r="C5" i="9"/>
  <c r="B5" i="2"/>
  <c r="C4" i="9" l="1"/>
  <c r="A4" i="9"/>
  <c r="C3" i="9"/>
  <c r="A3" i="9"/>
  <c r="C2" i="9"/>
  <c r="A2" i="9"/>
  <c r="C1" i="9"/>
  <c r="A1" i="9"/>
  <c r="D4" i="4"/>
  <c r="A4" i="4"/>
  <c r="D3" i="4"/>
  <c r="A3" i="4"/>
  <c r="D2" i="4"/>
  <c r="A2" i="4"/>
  <c r="D1" i="4"/>
  <c r="A1" i="4"/>
  <c r="A4" i="1"/>
  <c r="C3" i="1"/>
  <c r="A3" i="1"/>
  <c r="C2" i="1"/>
  <c r="A2" i="1"/>
  <c r="C1" i="1"/>
  <c r="A1" i="1"/>
  <c r="C4" i="3"/>
  <c r="A4" i="3"/>
  <c r="C3" i="3"/>
  <c r="A3" i="3"/>
  <c r="A2" i="3"/>
  <c r="A1" i="3"/>
  <c r="B4" i="2"/>
  <c r="A4" i="2"/>
  <c r="B1" i="2"/>
  <c r="B3" i="2"/>
  <c r="A1" i="2"/>
  <c r="A3" i="2"/>
  <c r="B2" i="2"/>
  <c r="A2" i="2"/>
  <c r="A32" i="2" l="1"/>
  <c r="G17" i="7"/>
  <c r="F37" i="4" l="1"/>
  <c r="F35" i="1"/>
  <c r="F34" i="1"/>
  <c r="F34" i="3"/>
  <c r="F36" i="3" s="1"/>
  <c r="F39" i="4" l="1"/>
  <c r="F38" i="1"/>
  <c r="F36" i="1"/>
  <c r="I44" i="1"/>
  <c r="F49" i="2" l="1"/>
  <c r="I30" i="2"/>
  <c r="I31" i="2"/>
  <c r="I32" i="2"/>
  <c r="I29" i="2"/>
  <c r="A22" i="2"/>
  <c r="A16" i="4"/>
  <c r="H22" i="4" s="1"/>
  <c r="A15" i="4"/>
  <c r="G21" i="4" s="1"/>
  <c r="A14" i="4"/>
  <c r="F20" i="4" s="1"/>
  <c r="A13" i="4"/>
  <c r="E19" i="4" s="1"/>
  <c r="A45" i="4" l="1"/>
  <c r="A47" i="4"/>
  <c r="A46" i="4"/>
  <c r="A48" i="4"/>
  <c r="C20" i="4"/>
  <c r="D14" i="4" s="1"/>
  <c r="F14" i="4" s="1"/>
  <c r="E14" i="4"/>
  <c r="C14" i="4" s="1"/>
  <c r="G20" i="4"/>
  <c r="E16" i="4"/>
  <c r="C16" i="4" s="1"/>
  <c r="E20" i="4"/>
  <c r="C22" i="4"/>
  <c r="D16" i="4" s="1"/>
  <c r="F16" i="4" s="1"/>
  <c r="E22" i="4"/>
  <c r="G22" i="4"/>
  <c r="F19" i="4"/>
  <c r="D21" i="4"/>
  <c r="H21" i="4"/>
  <c r="E15" i="4"/>
  <c r="C15" i="4" s="1"/>
  <c r="C19" i="4"/>
  <c r="D13" i="4" s="1"/>
  <c r="F13" i="4" s="1"/>
  <c r="G19" i="4"/>
  <c r="D20" i="4"/>
  <c r="G46" i="4" s="1"/>
  <c r="H20" i="4"/>
  <c r="E21" i="4"/>
  <c r="F22" i="4"/>
  <c r="D19" i="4"/>
  <c r="H19" i="4"/>
  <c r="F21" i="4"/>
  <c r="E13" i="4"/>
  <c r="C13" i="4" s="1"/>
  <c r="C21" i="4"/>
  <c r="D22" i="4"/>
  <c r="G48" i="4" s="1"/>
  <c r="F35" i="3"/>
  <c r="F32" i="3"/>
  <c r="F27" i="3"/>
  <c r="F28" i="3"/>
  <c r="F29" i="3"/>
  <c r="F30" i="3"/>
  <c r="F33" i="4" s="1"/>
  <c r="F26" i="3"/>
  <c r="F28" i="4" s="1"/>
  <c r="H28" i="4" s="1"/>
  <c r="J28" i="4" s="1"/>
  <c r="A13" i="1"/>
  <c r="A14" i="1"/>
  <c r="A15" i="1"/>
  <c r="A53" i="1" s="1"/>
  <c r="A12" i="1"/>
  <c r="A50" i="1" s="1"/>
  <c r="C12" i="3"/>
  <c r="H29" i="9"/>
  <c r="H25" i="9"/>
  <c r="H24" i="9"/>
  <c r="H20" i="9"/>
  <c r="H16" i="9"/>
  <c r="H13" i="9"/>
  <c r="H12" i="9"/>
  <c r="H34" i="9" s="1"/>
  <c r="H11" i="9"/>
  <c r="H10" i="9"/>
  <c r="A13" i="3"/>
  <c r="A43" i="3" s="1"/>
  <c r="C13" i="3"/>
  <c r="D13" i="3"/>
  <c r="F13" i="3" s="1"/>
  <c r="E13" i="3"/>
  <c r="G13" i="3"/>
  <c r="A14" i="3"/>
  <c r="A44" i="3" s="1"/>
  <c r="C14" i="3"/>
  <c r="D14" i="3"/>
  <c r="F14" i="3" s="1"/>
  <c r="E14" i="3"/>
  <c r="G14" i="3"/>
  <c r="A15" i="3"/>
  <c r="A45" i="3" s="1"/>
  <c r="C15" i="3"/>
  <c r="D15" i="3"/>
  <c r="F15" i="3" s="1"/>
  <c r="E15" i="3"/>
  <c r="G15" i="3"/>
  <c r="G12" i="3"/>
  <c r="E12" i="3"/>
  <c r="D12" i="3"/>
  <c r="F12" i="3" s="1"/>
  <c r="A12" i="3"/>
  <c r="A42" i="3" s="1"/>
  <c r="A30" i="2"/>
  <c r="A31" i="2"/>
  <c r="A19" i="2"/>
  <c r="E35" i="7"/>
  <c r="H15" i="9" s="1"/>
  <c r="E34" i="7"/>
  <c r="I34" i="7" s="1"/>
  <c r="K42" i="3" l="1"/>
  <c r="G15" i="4"/>
  <c r="H15" i="4" s="1"/>
  <c r="G47" i="4"/>
  <c r="A21" i="4"/>
  <c r="A20" i="1"/>
  <c r="A20" i="4"/>
  <c r="A19" i="1"/>
  <c r="G13" i="4"/>
  <c r="H13" i="4" s="1"/>
  <c r="G45" i="4"/>
  <c r="A19" i="4"/>
  <c r="A18" i="1"/>
  <c r="J42" i="3"/>
  <c r="J45" i="3"/>
  <c r="J43" i="3"/>
  <c r="J44" i="3"/>
  <c r="A46" i="1"/>
  <c r="A52" i="1"/>
  <c r="A45" i="1"/>
  <c r="A51" i="1"/>
  <c r="J45" i="4"/>
  <c r="F45" i="4"/>
  <c r="H14" i="9"/>
  <c r="K14" i="9" s="1"/>
  <c r="F29" i="4"/>
  <c r="H29" i="4" s="1"/>
  <c r="J29" i="4" s="1"/>
  <c r="F32" i="4"/>
  <c r="D45" i="4" s="1"/>
  <c r="F48" i="3"/>
  <c r="F50" i="3"/>
  <c r="F49" i="3"/>
  <c r="F31" i="1"/>
  <c r="F51" i="3"/>
  <c r="A47" i="1"/>
  <c r="F31" i="4"/>
  <c r="D48" i="3"/>
  <c r="D49" i="3"/>
  <c r="D50" i="3"/>
  <c r="D51" i="3"/>
  <c r="A51" i="3"/>
  <c r="A50" i="3"/>
  <c r="A49" i="3"/>
  <c r="A48" i="3"/>
  <c r="C43" i="3"/>
  <c r="C42" i="3"/>
  <c r="F32" i="1"/>
  <c r="F28" i="1"/>
  <c r="C44" i="3"/>
  <c r="F30" i="1"/>
  <c r="F27" i="1"/>
  <c r="E42" i="3"/>
  <c r="F42" i="3"/>
  <c r="C45" i="3"/>
  <c r="F45" i="3"/>
  <c r="E45" i="3"/>
  <c r="K45" i="3"/>
  <c r="F18" i="1"/>
  <c r="A44" i="1"/>
  <c r="I13" i="4"/>
  <c r="F46" i="4"/>
  <c r="J46" i="4"/>
  <c r="J47" i="4"/>
  <c r="F47" i="4"/>
  <c r="A21" i="1"/>
  <c r="A22" i="4"/>
  <c r="J48" i="4"/>
  <c r="E48" i="4"/>
  <c r="F48" i="4"/>
  <c r="I15" i="4"/>
  <c r="D15" i="4"/>
  <c r="F15" i="4" s="1"/>
  <c r="I16" i="4"/>
  <c r="G16" i="4"/>
  <c r="H16" i="4" s="1"/>
  <c r="I14" i="4"/>
  <c r="G14" i="4"/>
  <c r="H14" i="4" s="1"/>
  <c r="E12" i="1"/>
  <c r="C12" i="1" s="1"/>
  <c r="E18" i="1"/>
  <c r="D21" i="1"/>
  <c r="H21" i="1"/>
  <c r="E15" i="1"/>
  <c r="C15" i="1" s="1"/>
  <c r="F21" i="1"/>
  <c r="E21" i="1"/>
  <c r="C21" i="1"/>
  <c r="D15" i="1" s="1"/>
  <c r="F15" i="1" s="1"/>
  <c r="G21" i="1"/>
  <c r="E13" i="1"/>
  <c r="C13" i="1" s="1"/>
  <c r="F19" i="1"/>
  <c r="C19" i="1"/>
  <c r="D13" i="1" s="1"/>
  <c r="F13" i="1" s="1"/>
  <c r="D19" i="1"/>
  <c r="H19" i="1"/>
  <c r="G19" i="1"/>
  <c r="E19" i="1"/>
  <c r="D18" i="1"/>
  <c r="H18" i="1"/>
  <c r="G18" i="1"/>
  <c r="C20" i="1"/>
  <c r="G20" i="1"/>
  <c r="D20" i="1"/>
  <c r="E20" i="1"/>
  <c r="E14" i="1"/>
  <c r="C14" i="1" s="1"/>
  <c r="F20" i="1"/>
  <c r="H20" i="1"/>
  <c r="C18" i="1"/>
  <c r="D12" i="1" s="1"/>
  <c r="F12" i="1" s="1"/>
  <c r="H35" i="9"/>
  <c r="H36" i="9"/>
  <c r="G34" i="7"/>
  <c r="D14" i="1" l="1"/>
  <c r="F14" i="1" s="1"/>
  <c r="F46" i="1"/>
  <c r="I14" i="9"/>
  <c r="H37" i="9" s="1"/>
  <c r="H41" i="9" s="1"/>
  <c r="H42" i="9" s="1"/>
  <c r="P47" i="4"/>
  <c r="G15" i="1"/>
  <c r="H15" i="1" s="1"/>
  <c r="G47" i="1"/>
  <c r="G14" i="1"/>
  <c r="H14" i="1" s="1"/>
  <c r="G46" i="1"/>
  <c r="G13" i="1"/>
  <c r="H13" i="1" s="1"/>
  <c r="G45" i="1"/>
  <c r="H45" i="1" s="1"/>
  <c r="G12" i="1"/>
  <c r="H12" i="1" s="1"/>
  <c r="G44" i="1"/>
  <c r="H44" i="1" s="1"/>
  <c r="H48" i="4"/>
  <c r="H45" i="4"/>
  <c r="H47" i="4"/>
  <c r="H46" i="4"/>
  <c r="J14" i="4"/>
  <c r="J15" i="4"/>
  <c r="E45" i="4"/>
  <c r="J16" i="4"/>
  <c r="J13" i="4"/>
  <c r="D47" i="1"/>
  <c r="D48" i="4"/>
  <c r="D47" i="4"/>
  <c r="E46" i="4"/>
  <c r="F50" i="1"/>
  <c r="F51" i="1"/>
  <c r="F52" i="1"/>
  <c r="P48" i="4"/>
  <c r="D46" i="4"/>
  <c r="P45" i="4"/>
  <c r="P46" i="4"/>
  <c r="F53" i="1"/>
  <c r="I47" i="1"/>
  <c r="E47" i="4"/>
  <c r="O47" i="4"/>
  <c r="O48" i="4"/>
  <c r="O45" i="4"/>
  <c r="O46" i="4"/>
  <c r="D52" i="1"/>
  <c r="D53" i="1"/>
  <c r="D50" i="1"/>
  <c r="D51" i="1"/>
  <c r="N45" i="4"/>
  <c r="N46" i="4"/>
  <c r="N47" i="4"/>
  <c r="N48" i="4"/>
  <c r="E47" i="1"/>
  <c r="F47" i="1"/>
  <c r="H47" i="1"/>
  <c r="I12" i="1"/>
  <c r="J12" i="1" s="1"/>
  <c r="I13" i="1"/>
  <c r="J13" i="1" s="1"/>
  <c r="I15" i="1"/>
  <c r="I14" i="1"/>
  <c r="J14" i="1" s="1"/>
  <c r="L45" i="4" l="1"/>
  <c r="M45" i="4" s="1"/>
  <c r="R45" i="4" s="1"/>
  <c r="L48" i="4"/>
  <c r="M48" i="4" s="1"/>
  <c r="R48" i="4" s="1"/>
  <c r="L47" i="4"/>
  <c r="M47" i="4" s="1"/>
  <c r="R47" i="4" s="1"/>
  <c r="L46" i="4"/>
  <c r="M46" i="4" s="1"/>
  <c r="R46" i="4" s="1"/>
  <c r="J30" i="4"/>
  <c r="J15" i="1"/>
  <c r="R49" i="4" l="1"/>
  <c r="C52" i="4" s="1"/>
  <c r="H30" i="4"/>
  <c r="F30" i="4" s="1"/>
  <c r="G16" i="7"/>
  <c r="I16" i="7" s="1"/>
  <c r="G15" i="7"/>
  <c r="I15" i="7" s="1"/>
  <c r="H28" i="1" l="1"/>
  <c r="E44" i="1" l="1"/>
  <c r="J28" i="1"/>
  <c r="H27" i="1"/>
  <c r="H27" i="3"/>
  <c r="H26" i="3"/>
  <c r="K43" i="3"/>
  <c r="K44" i="3"/>
  <c r="E51" i="1" l="1"/>
  <c r="E52" i="1"/>
  <c r="E50" i="1"/>
  <c r="E53" i="1"/>
  <c r="E48" i="3"/>
  <c r="E49" i="3"/>
  <c r="E50" i="3"/>
  <c r="E51" i="3"/>
  <c r="J27" i="3"/>
  <c r="J26" i="3"/>
  <c r="G45" i="3"/>
  <c r="G42" i="3"/>
  <c r="D45" i="3"/>
  <c r="D42" i="3"/>
  <c r="H46" i="1"/>
  <c r="F45" i="1"/>
  <c r="D44" i="1"/>
  <c r="D45" i="1"/>
  <c r="F44" i="1"/>
  <c r="E43" i="3"/>
  <c r="I46" i="1"/>
  <c r="D46" i="1"/>
  <c r="I45" i="1"/>
  <c r="J27" i="1"/>
  <c r="F43" i="3"/>
  <c r="F44" i="3"/>
  <c r="E44" i="3"/>
  <c r="D44" i="3"/>
  <c r="D43" i="3"/>
  <c r="G43" i="3"/>
  <c r="G44" i="3"/>
  <c r="H42" i="3" l="1"/>
  <c r="I42" i="3" s="1"/>
  <c r="L42" i="3" s="1"/>
  <c r="C48" i="3" s="1"/>
  <c r="O48" i="3" s="1"/>
  <c r="J29" i="1"/>
  <c r="H29" i="1" s="1"/>
  <c r="F29" i="1" s="1"/>
  <c r="J47" i="1"/>
  <c r="H45" i="3"/>
  <c r="I45" i="3" s="1"/>
  <c r="C47" i="1"/>
  <c r="L47" i="1" s="1"/>
  <c r="J45" i="1"/>
  <c r="E46" i="1"/>
  <c r="E45" i="1"/>
  <c r="J46" i="1"/>
  <c r="J44" i="1"/>
  <c r="C46" i="1"/>
  <c r="C44" i="1"/>
  <c r="C45" i="1"/>
  <c r="H43" i="3"/>
  <c r="I43" i="3" s="1"/>
  <c r="H44" i="3"/>
  <c r="I44" i="3" s="1"/>
  <c r="K47" i="1" l="1"/>
  <c r="M47" i="1" s="1"/>
  <c r="L45" i="3"/>
  <c r="C51" i="3" s="1"/>
  <c r="O51" i="3" s="1"/>
  <c r="L44" i="1"/>
  <c r="K44" i="1"/>
  <c r="K45" i="1"/>
  <c r="L46" i="1"/>
  <c r="L45" i="1"/>
  <c r="K46" i="1"/>
  <c r="L43" i="3"/>
  <c r="C49" i="3" s="1"/>
  <c r="O49" i="3" s="1"/>
  <c r="L44" i="3"/>
  <c r="C50" i="3" s="1"/>
  <c r="O50" i="3" s="1"/>
  <c r="O52" i="3" l="1"/>
  <c r="J49" i="3" s="1"/>
  <c r="O47" i="1"/>
  <c r="N47" i="1"/>
  <c r="P47" i="1" s="1"/>
  <c r="R53" i="1" s="1"/>
  <c r="N44" i="1"/>
  <c r="M44" i="1"/>
  <c r="O44" i="1"/>
  <c r="M45" i="1"/>
  <c r="N45" i="1"/>
  <c r="O45" i="1"/>
  <c r="O46" i="1"/>
  <c r="M46" i="1"/>
  <c r="N46" i="1"/>
  <c r="C53" i="1" l="1"/>
  <c r="P44" i="1"/>
  <c r="P46" i="1"/>
  <c r="P45" i="1"/>
  <c r="C51" i="1" l="1"/>
  <c r="R51" i="1"/>
  <c r="C52" i="1"/>
  <c r="R52" i="1"/>
  <c r="C50" i="1"/>
  <c r="R50" i="1"/>
  <c r="R54" i="1" l="1"/>
  <c r="L5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Gabriela Mariscal</author>
  </authors>
  <commentList>
    <comment ref="I28" authorId="0" shapeId="0" xr:uid="{00000000-0006-0000-0200-000001000000}">
      <text>
        <r>
          <rPr>
            <b/>
            <sz val="9"/>
            <color indexed="81"/>
            <rFont val="Tahoma"/>
            <family val="2"/>
          </rPr>
          <t>Gabriela Mariscal:</t>
        </r>
        <r>
          <rPr>
            <sz val="9"/>
            <color indexed="81"/>
            <rFont val="Tahoma"/>
            <family val="2"/>
          </rPr>
          <t xml:space="preserve">
This info is not printed but it is needed. Please add the tested slope in degrees</t>
        </r>
      </text>
    </comment>
  </commentList>
</comments>
</file>

<file path=xl/sharedStrings.xml><?xml version="1.0" encoding="utf-8"?>
<sst xmlns="http://schemas.openxmlformats.org/spreadsheetml/2006/main" count="441" uniqueCount="295">
  <si>
    <r>
      <t>NATIONAL CONCRETE MASONRY ASSOCIATION</t>
    </r>
    <r>
      <rPr>
        <b/>
        <sz val="16"/>
        <color indexed="63"/>
        <rFont val="Calibri"/>
        <family val="2"/>
        <scheme val="minor"/>
      </rPr>
      <t xml:space="preserve">
</t>
    </r>
    <r>
      <rPr>
        <b/>
        <sz val="18"/>
        <color indexed="63"/>
        <rFont val="Calibri"/>
        <family val="2"/>
        <scheme val="minor"/>
      </rPr>
      <t>ARTICULATING CONCRETE BLOCK
DESIGN CALCULATIONS FOR OPEN 
CHANNEL AND OVERTOPPING FLOW</t>
    </r>
  </si>
  <si>
    <t>Instructions for Sheet 0:  Project Details</t>
  </si>
  <si>
    <t>1.  Enter the project and designer's information in the green-colored cells.
2.  Enter the project-specific hydraulic conditions for ACB design in Table 1.  Immediately below Table 1 are green-colored cells for the density of concrete and water.  These values are typically taken as 140 and 62.4 pounds per cubic foot, respectively.  However, the user may change these values if, for example, a high-density aggregate is used in the concrete mix, or if the project involves sea water (64.2 pcf) instead of fresh water.
3.  Enter the project-specific hydraulic conditions for rip rap design in the green-colored cells in Tables A, B, and C.  In Table A, also enter the density of rock and water.  These values are typically taken as 165 and 62.4 pounds per cubic foot, respectively.  However, the user may change these values if, for example, a high- or (low-) density rock source is used for riprap, or if the project involves sea water (64.2 pcf) instead of fresh water.</t>
  </si>
  <si>
    <t>Instructions for Sheet 1:  Articulating Block Characteristics</t>
  </si>
  <si>
    <t xml:space="preserve">1.  Enter the nominal dimensions (in inches), open area (percent) and weight (pounds) for up to 4 block systems in the green colored cells in Table 2.  All terms match the NCMA Design Manual for ACB Design (2020).
2.  Critical shear stress (in pounds per square foot) determined from full-scale laboratory tests performed in accordance with ASTM D7276 and ASTM D7277 are entered in Table 3.  Note whether the data are from the tested system or if the values were extrapolated to a thicker system than the tested system. 
3.  There is room reserved on this sheet for product-specific photos, schematic diagrams, manufacturer logos, etc. </t>
  </si>
  <si>
    <t>Instructions for Sheet 2:  Open Channel Stability - Hydraulic Stability Method</t>
  </si>
  <si>
    <r>
      <t>1.  This criteria should only be used for design velocities (V</t>
    </r>
    <r>
      <rPr>
        <vertAlign val="subscript"/>
        <sz val="11"/>
        <rFont val="Calibri"/>
        <family val="2"/>
        <scheme val="minor"/>
      </rPr>
      <t>des</t>
    </r>
    <r>
      <rPr>
        <sz val="11"/>
        <rFont val="Calibri"/>
        <family val="2"/>
        <scheme val="minor"/>
      </rPr>
      <t>) below 8 ft/s.
2.   Formulas for block stability calculations are developed from the information provided on Sheet 0 and 1.  All other cells on this sheet are locked down and password-protected so they can't be inadvertently changed.</t>
    </r>
  </si>
  <si>
    <t>Instructions for Sheet 3a:  Open Channel Stability - Shear and Velocity Method</t>
  </si>
  <si>
    <r>
      <t>1.  This criteria should only be used for design velocities (V</t>
    </r>
    <r>
      <rPr>
        <vertAlign val="subscript"/>
        <sz val="11"/>
        <rFont val="Calibri"/>
        <family val="2"/>
        <scheme val="minor"/>
      </rPr>
      <t>des</t>
    </r>
    <r>
      <rPr>
        <sz val="11"/>
        <rFont val="Calibri"/>
        <family val="2"/>
        <scheme val="minor"/>
      </rPr>
      <t>) above and equal to 8 ft/s.
2.   Formulas for block stability calculations are developed from the information provided on Sheet 0 and 1.  All other cells on this sheet are locked down and password-protected so they can't be inadvertently changed.</t>
    </r>
  </si>
  <si>
    <t>Instructions for Sheet 3b:  Overtopping Stability - Shear and Velocity Method</t>
  </si>
  <si>
    <r>
      <t>1.  This criteria should only be used for design velocities (V</t>
    </r>
    <r>
      <rPr>
        <vertAlign val="subscript"/>
        <sz val="11"/>
        <rFont val="Calibri"/>
        <family val="2"/>
        <scheme val="minor"/>
      </rPr>
      <t>des</t>
    </r>
    <r>
      <rPr>
        <sz val="11"/>
        <rFont val="Calibri"/>
        <family val="2"/>
        <scheme val="minor"/>
      </rPr>
      <t>) above and equal to 8 ft/s in overtopping applications.
2.   Formulas for block stability calculations are developed from the information provided on Sheet 0 and 1.  All other cells on this sheet are locked down and password-protected so they can't be inadvertently changed.</t>
    </r>
  </si>
  <si>
    <t>Instructions for Sheet 4:  Filter Design</t>
  </si>
  <si>
    <r>
      <t>1.  This sheet helps to track the filter design. Enter the project's information in the green-colored cells for the base soil, filter design criteria (base soil or granular filter), median grain sizes for the base soil and potential granular filter (if applicable), if granular filter is used determine the A</t>
    </r>
    <r>
      <rPr>
        <vertAlign val="subscript"/>
        <sz val="11"/>
        <rFont val="Calibri"/>
        <family val="2"/>
        <scheme val="minor"/>
      </rPr>
      <t>50.</t>
    </r>
    <r>
      <rPr>
        <sz val="11"/>
        <rFont val="Calibri"/>
        <family val="2"/>
        <scheme val="minor"/>
      </rPr>
      <t xml:space="preserve"> For the geotextile design enter soil properties, current conditions, permeability and the properties of potential geotextiles.</t>
    </r>
  </si>
  <si>
    <t>Instructions for Sheet 5:  Rock Riprap</t>
  </si>
  <si>
    <t>1.   Formulas for block stability calculations are developed from the information provided on Sheet 0 and 1.  All other cells on this sheet are locked down and password-protected so they can't be inadvertently changed.</t>
  </si>
  <si>
    <t>Disclaimer</t>
  </si>
  <si>
    <r>
      <t xml:space="preserve">NCMA and the companies disseminating this technical information disclaim any and all responsibility and liability for the accuracy and the application of the information contained in this publication.   
</t>
    </r>
    <r>
      <rPr>
        <u/>
        <sz val="11"/>
        <rFont val="Calibri"/>
        <family val="2"/>
        <scheme val="minor"/>
      </rPr>
      <t>Worksheet Protection</t>
    </r>
    <r>
      <rPr>
        <sz val="11"/>
        <rFont val="Calibri"/>
        <family val="2"/>
        <scheme val="minor"/>
      </rPr>
      <t xml:space="preserve">
To prevent inadvertently changing of the spreadsheet's functions, many of the cells are locked from editing. Users may unlock the spreadsheet if they so desire using the password: 'bloxrox'</t>
    </r>
  </si>
  <si>
    <t>General Information</t>
  </si>
  <si>
    <t>Company:</t>
  </si>
  <si>
    <t xml:space="preserve"> Consultant</t>
  </si>
  <si>
    <t>Description:</t>
  </si>
  <si>
    <t>Meandering River</t>
  </si>
  <si>
    <t>Designer:</t>
  </si>
  <si>
    <t>John Doe</t>
  </si>
  <si>
    <t>Date:</t>
  </si>
  <si>
    <t>Project Name/Number:</t>
  </si>
  <si>
    <t>Hydraulic Design Data</t>
  </si>
  <si>
    <t>Client:</t>
  </si>
  <si>
    <t>Discharged (cfs):</t>
  </si>
  <si>
    <t>Target Factor of Safety:</t>
  </si>
  <si>
    <t>Flow Depth (ft):</t>
  </si>
  <si>
    <t>Project Information for ACB Design</t>
  </si>
  <si>
    <t>TABLE 1:  CHANNEL CONDITIONS FOR ACB DESIGN</t>
  </si>
  <si>
    <t>ENTER VALUES</t>
  </si>
  <si>
    <t>Degrees</t>
  </si>
  <si>
    <t>Radians</t>
  </si>
  <si>
    <r>
      <t>Longitudinal (bed) Slope θ</t>
    </r>
    <r>
      <rPr>
        <vertAlign val="subscript"/>
        <sz val="11"/>
        <rFont val="Calibri"/>
        <family val="2"/>
        <scheme val="minor"/>
      </rPr>
      <t>0</t>
    </r>
    <r>
      <rPr>
        <sz val="11"/>
        <rFont val="Calibri"/>
        <family val="2"/>
        <scheme val="minor"/>
      </rPr>
      <t>, percent</t>
    </r>
  </si>
  <si>
    <r>
      <t>Maximum Side Slope θ</t>
    </r>
    <r>
      <rPr>
        <vertAlign val="subscript"/>
        <sz val="11"/>
        <rFont val="Calibri"/>
        <family val="2"/>
        <scheme val="minor"/>
      </rPr>
      <t>1</t>
    </r>
    <r>
      <rPr>
        <sz val="11"/>
        <rFont val="Calibri"/>
        <family val="2"/>
        <scheme val="minor"/>
      </rPr>
      <t>, percent</t>
    </r>
  </si>
  <si>
    <t>Design Maximum Velocity V, ft/s</t>
  </si>
  <si>
    <r>
      <t xml:space="preserve">Design Maximum Shear Stress </t>
    </r>
    <r>
      <rPr>
        <sz val="11"/>
        <rFont val="Symbol"/>
        <family val="1"/>
        <charset val="2"/>
      </rPr>
      <t>t</t>
    </r>
    <r>
      <rPr>
        <vertAlign val="subscript"/>
        <sz val="11"/>
        <rFont val="Calibri"/>
        <family val="2"/>
        <scheme val="minor"/>
      </rPr>
      <t>0</t>
    </r>
    <r>
      <rPr>
        <sz val="11"/>
        <rFont val="Calibri"/>
        <family val="2"/>
        <scheme val="minor"/>
      </rPr>
      <t>, lb/ft</t>
    </r>
    <r>
      <rPr>
        <vertAlign val="superscript"/>
        <sz val="11"/>
        <rFont val="Calibri"/>
        <family val="2"/>
        <scheme val="minor"/>
      </rPr>
      <t>2</t>
    </r>
  </si>
  <si>
    <t>Maximum Block Placement Tolerance, inches</t>
  </si>
  <si>
    <t>Flow Direction: (select from dropdown)</t>
  </si>
  <si>
    <t>a) Perpendicular to block width (b)</t>
  </si>
  <si>
    <r>
      <t>Unit Weight of Water, lb/ft</t>
    </r>
    <r>
      <rPr>
        <vertAlign val="superscript"/>
        <sz val="11"/>
        <rFont val="Calibri"/>
        <family val="2"/>
        <scheme val="minor"/>
      </rPr>
      <t>3</t>
    </r>
  </si>
  <si>
    <r>
      <t>NOTE: Recommended values for density of water are 62.4 lb/ft</t>
    </r>
    <r>
      <rPr>
        <vertAlign val="superscript"/>
        <sz val="10"/>
        <rFont val="Calibri"/>
        <family val="2"/>
        <scheme val="minor"/>
      </rPr>
      <t>3</t>
    </r>
    <r>
      <rPr>
        <sz val="10"/>
        <color theme="1"/>
        <rFont val="Calibri"/>
        <family val="2"/>
        <scheme val="minor"/>
      </rPr>
      <t xml:space="preserve"> for fresh water, 64.2 lb/ft</t>
    </r>
    <r>
      <rPr>
        <vertAlign val="superscript"/>
        <sz val="10"/>
        <rFont val="Calibri"/>
        <family val="2"/>
        <scheme val="minor"/>
      </rPr>
      <t>3</t>
    </r>
    <r>
      <rPr>
        <sz val="10"/>
        <color theme="1"/>
        <rFont val="Calibri"/>
        <family val="2"/>
        <scheme val="minor"/>
      </rPr>
      <t xml:space="preserve"> for seawater</t>
    </r>
  </si>
  <si>
    <r>
      <t>Unit Weight of Concrete, lb/ft</t>
    </r>
    <r>
      <rPr>
        <vertAlign val="superscript"/>
        <sz val="11"/>
        <rFont val="Calibri"/>
        <family val="2"/>
        <scheme val="minor"/>
      </rPr>
      <t>3</t>
    </r>
  </si>
  <si>
    <t>Project Information for Rock Riprap for Streambank Protection Design</t>
  </si>
  <si>
    <t>TABLE A:  CHANNEL AND RIPRAP CHARACTERISTICS:</t>
  </si>
  <si>
    <r>
      <t>Channel Average Velocity (ft/s),  V</t>
    </r>
    <r>
      <rPr>
        <vertAlign val="subscript"/>
        <sz val="11"/>
        <rFont val="Calibri"/>
        <family val="2"/>
      </rPr>
      <t>avg</t>
    </r>
  </si>
  <si>
    <t>Flow Depth Above Particle (ft),  y   (see Note 1)</t>
  </si>
  <si>
    <r>
      <t>Rock Shape (Enter "</t>
    </r>
    <r>
      <rPr>
        <b/>
        <sz val="11"/>
        <rFont val="Calibri"/>
        <family val="2"/>
      </rPr>
      <t>A"</t>
    </r>
    <r>
      <rPr>
        <sz val="11"/>
        <rFont val="Calibri"/>
        <family val="2"/>
      </rPr>
      <t xml:space="preserve"> for Angular or "</t>
    </r>
    <r>
      <rPr>
        <b/>
        <sz val="11"/>
        <rFont val="Calibri"/>
        <family val="2"/>
      </rPr>
      <t>R"</t>
    </r>
    <r>
      <rPr>
        <sz val="11"/>
        <rFont val="Calibri"/>
        <family val="2"/>
      </rPr>
      <t xml:space="preserve"> for Rounded)</t>
    </r>
  </si>
  <si>
    <t>R</t>
  </si>
  <si>
    <t>Enter A or R, no quotes</t>
  </si>
  <si>
    <r>
      <t>Design Safety Factor (&gt;1), S</t>
    </r>
    <r>
      <rPr>
        <vertAlign val="subscript"/>
        <sz val="11"/>
        <rFont val="Calibri"/>
        <family val="2"/>
      </rPr>
      <t>f</t>
    </r>
    <r>
      <rPr>
        <sz val="11"/>
        <rFont val="Calibri"/>
        <family val="2"/>
      </rPr>
      <t xml:space="preserve">    (see Note 2)</t>
    </r>
  </si>
  <si>
    <t>Maximum Side Slope, percent</t>
  </si>
  <si>
    <t>(deg)</t>
  </si>
  <si>
    <t>(rad)</t>
  </si>
  <si>
    <r>
      <t>Unit Weight of Water, lb/ft</t>
    </r>
    <r>
      <rPr>
        <vertAlign val="superscript"/>
        <sz val="11"/>
        <rFont val="Calibri"/>
        <family val="2"/>
      </rPr>
      <t>3</t>
    </r>
  </si>
  <si>
    <r>
      <t xml:space="preserve"> Recommended values for density of water are:
 62.4 lb/ft</t>
    </r>
    <r>
      <rPr>
        <vertAlign val="superscript"/>
        <sz val="10"/>
        <rFont val="Calibri"/>
        <family val="2"/>
      </rPr>
      <t>3</t>
    </r>
    <r>
      <rPr>
        <sz val="10"/>
        <rFont val="Calibri"/>
        <family val="2"/>
      </rPr>
      <t xml:space="preserve"> for fresh water,  64.2 lb/ft</t>
    </r>
    <r>
      <rPr>
        <vertAlign val="superscript"/>
        <sz val="10"/>
        <rFont val="Calibri"/>
        <family val="2"/>
      </rPr>
      <t>3</t>
    </r>
    <r>
      <rPr>
        <sz val="10"/>
        <rFont val="Calibri"/>
        <family val="2"/>
      </rPr>
      <t xml:space="preserve"> for seawater</t>
    </r>
  </si>
  <si>
    <r>
      <t>Unit Weight of Rock Riprap, lb/ft</t>
    </r>
    <r>
      <rPr>
        <vertAlign val="superscript"/>
        <sz val="11"/>
        <rFont val="Calibri"/>
        <family val="2"/>
      </rPr>
      <t>3</t>
    </r>
  </si>
  <si>
    <t>TABLE B:  RIPRAP POSITION IN CHANNEL</t>
  </si>
  <si>
    <r>
      <t>Enter "</t>
    </r>
    <r>
      <rPr>
        <b/>
        <sz val="11"/>
        <rFont val="Calibri"/>
        <family val="2"/>
      </rPr>
      <t>S</t>
    </r>
    <r>
      <rPr>
        <sz val="11"/>
        <rFont val="Calibri"/>
        <family val="2"/>
      </rPr>
      <t>" for Straight channel, "</t>
    </r>
    <r>
      <rPr>
        <b/>
        <sz val="11"/>
        <rFont val="Calibri"/>
        <family val="2"/>
      </rPr>
      <t>D</t>
    </r>
    <r>
      <rPr>
        <sz val="11"/>
        <rFont val="Calibri"/>
        <family val="2"/>
      </rPr>
      <t>" for Downstream of concrete channel,</t>
    </r>
  </si>
  <si>
    <t>B</t>
  </si>
  <si>
    <t>Enter S, D, E, or B, no quotes</t>
  </si>
  <si>
    <r>
      <t>"</t>
    </r>
    <r>
      <rPr>
        <b/>
        <sz val="11"/>
        <rFont val="Calibri"/>
        <family val="2"/>
      </rPr>
      <t>E</t>
    </r>
    <r>
      <rPr>
        <sz val="11"/>
        <rFont val="Calibri"/>
        <family val="2"/>
      </rPr>
      <t>" for riprap at the End of a spur or groin, "</t>
    </r>
    <r>
      <rPr>
        <b/>
        <sz val="11"/>
        <rFont val="Calibri"/>
        <family val="2"/>
      </rPr>
      <t>B</t>
    </r>
    <r>
      <rPr>
        <sz val="11"/>
        <rFont val="Calibri"/>
        <family val="2"/>
      </rPr>
      <t>" for outside of Bend (R</t>
    </r>
    <r>
      <rPr>
        <vertAlign val="subscript"/>
        <sz val="11"/>
        <rFont val="Calibri"/>
        <family val="2"/>
      </rPr>
      <t>c</t>
    </r>
    <r>
      <rPr>
        <sz val="11"/>
        <rFont val="Calibri"/>
        <family val="2"/>
      </rPr>
      <t>/W&lt;26)</t>
    </r>
  </si>
  <si>
    <t>If riprap is on the outside of a bend, then enter:</t>
  </si>
  <si>
    <r>
      <t>Centerline radius of curvature, R</t>
    </r>
    <r>
      <rPr>
        <vertAlign val="subscript"/>
        <sz val="11"/>
        <rFont val="Calibri"/>
        <family val="2"/>
      </rPr>
      <t>c</t>
    </r>
    <r>
      <rPr>
        <sz val="11"/>
        <rFont val="Calibri"/>
        <family val="2"/>
      </rPr>
      <t xml:space="preserve"> (ft)</t>
    </r>
  </si>
  <si>
    <t>Width of water surface at upstream end of bend, W (ft)</t>
  </si>
  <si>
    <t>TABLE C:  TYPE OF CHANNEL:</t>
  </si>
  <si>
    <r>
      <t>If natural channel, enter "N1" for R</t>
    </r>
    <r>
      <rPr>
        <vertAlign val="subscript"/>
        <sz val="11"/>
        <rFont val="Calibri"/>
        <family val="2"/>
      </rPr>
      <t>c</t>
    </r>
    <r>
      <rPr>
        <sz val="11"/>
        <rFont val="Calibri"/>
        <family val="2"/>
      </rPr>
      <t>/W &gt; 26, otherwise  "N2" for R</t>
    </r>
    <r>
      <rPr>
        <vertAlign val="subscript"/>
        <sz val="11"/>
        <rFont val="Calibri"/>
        <family val="2"/>
      </rPr>
      <t>c</t>
    </r>
    <r>
      <rPr>
        <sz val="11"/>
        <rFont val="Calibri"/>
        <family val="2"/>
      </rPr>
      <t>/W &lt; 26</t>
    </r>
  </si>
  <si>
    <t>N2</t>
  </si>
  <si>
    <t>Enter N1, N2, T1, or T2, no quotes</t>
  </si>
  <si>
    <r>
      <t>If trapezoidal channel, enter "T1" for R</t>
    </r>
    <r>
      <rPr>
        <vertAlign val="subscript"/>
        <sz val="11"/>
        <rFont val="Calibri"/>
        <family val="2"/>
      </rPr>
      <t>c</t>
    </r>
    <r>
      <rPr>
        <sz val="11"/>
        <rFont val="Calibri"/>
        <family val="2"/>
      </rPr>
      <t>/W &gt;8, otherwise "T2" for R</t>
    </r>
    <r>
      <rPr>
        <vertAlign val="subscript"/>
        <sz val="11"/>
        <rFont val="Calibri"/>
        <family val="2"/>
      </rPr>
      <t>c</t>
    </r>
    <r>
      <rPr>
        <sz val="11"/>
        <rFont val="Calibri"/>
        <family val="2"/>
      </rPr>
      <t>/W &lt; 8</t>
    </r>
  </si>
  <si>
    <t>Sheet 1:  Block Characteristics</t>
  </si>
  <si>
    <t>TABLE 2:  NOMINAL BLOCK DIMENSIONS AND WEIGHTS</t>
  </si>
  <si>
    <t>Block Designation</t>
  </si>
  <si>
    <t>Length, a
inches</t>
  </si>
  <si>
    <t>Width, b
inches</t>
  </si>
  <si>
    <t>Height,
inches</t>
  </si>
  <si>
    <t>Open area at base of system, percent</t>
  </si>
  <si>
    <t>Weight in air, lb</t>
  </si>
  <si>
    <t>4-inch open cell</t>
  </si>
  <si>
    <t>4.5-inch open cell</t>
  </si>
  <si>
    <t>6-inch open cell</t>
  </si>
  <si>
    <t>9-inch open cell</t>
  </si>
  <si>
    <t>BLOCK AREA AND LIFT COEFFICIENT</t>
  </si>
  <si>
    <r>
      <t>Block area parallel 
to flow A</t>
    </r>
    <r>
      <rPr>
        <vertAlign val="subscript"/>
        <sz val="11"/>
        <rFont val="Calibri"/>
        <family val="2"/>
        <scheme val="minor"/>
      </rPr>
      <t>B</t>
    </r>
    <r>
      <rPr>
        <sz val="11"/>
        <rFont val="Calibri"/>
        <family val="2"/>
        <scheme val="minor"/>
      </rPr>
      <t>, ft</t>
    </r>
    <r>
      <rPr>
        <vertAlign val="superscript"/>
        <sz val="11"/>
        <rFont val="Calibri"/>
        <family val="2"/>
        <scheme val="minor"/>
      </rPr>
      <t>2</t>
    </r>
  </si>
  <si>
    <r>
      <t>Block lift coefficient, 
C</t>
    </r>
    <r>
      <rPr>
        <vertAlign val="subscript"/>
        <sz val="11"/>
        <rFont val="Calibri"/>
        <family val="2"/>
        <scheme val="minor"/>
      </rPr>
      <t>BL</t>
    </r>
  </si>
  <si>
    <t>TABLE 3:  PERFORMANCE DATA FOR CRITICAL SHEAR STRESS AND VELOCITY</t>
  </si>
  <si>
    <t>Block type</t>
  </si>
  <si>
    <r>
      <rPr>
        <sz val="11"/>
        <rFont val="Symbol"/>
        <family val="1"/>
        <charset val="2"/>
      </rPr>
      <t>t</t>
    </r>
    <r>
      <rPr>
        <vertAlign val="subscript"/>
        <sz val="11"/>
        <rFont val="Calibri"/>
        <family val="2"/>
        <scheme val="minor"/>
      </rPr>
      <t>test</t>
    </r>
    <r>
      <rPr>
        <sz val="11"/>
        <rFont val="Calibri"/>
        <family val="2"/>
        <scheme val="minor"/>
      </rPr>
      <t xml:space="preserve"> at horizontal, lb/ft</t>
    </r>
    <r>
      <rPr>
        <vertAlign val="superscript"/>
        <sz val="11"/>
        <rFont val="Calibri"/>
        <family val="2"/>
        <scheme val="minor"/>
      </rPr>
      <t>2</t>
    </r>
  </si>
  <si>
    <r>
      <t>Maximum velocity, 
V</t>
    </r>
    <r>
      <rPr>
        <vertAlign val="subscript"/>
        <sz val="11"/>
        <rFont val="Calibri"/>
        <family val="2"/>
        <scheme val="minor"/>
      </rPr>
      <t>test</t>
    </r>
    <r>
      <rPr>
        <sz val="11"/>
        <rFont val="Calibri"/>
        <family val="2"/>
        <scheme val="minor"/>
      </rPr>
      <t xml:space="preserve"> ft/s</t>
    </r>
  </si>
  <si>
    <t>Comments</t>
  </si>
  <si>
    <t>Convert the Angle tested (D29-D32) to deg</t>
  </si>
  <si>
    <t>Tested at 2H:1V</t>
  </si>
  <si>
    <t>Extrapolated value</t>
  </si>
  <si>
    <t>Sheet 2:  Hydraulic Stability Method Calculations</t>
  </si>
  <si>
    <t>TABLE 4:  MOMENT ARMS AND CRITICAL SHEAR STRESS</t>
  </si>
  <si>
    <r>
      <rPr>
        <sz val="16"/>
        <rFont val="French Script MT"/>
        <family val="4"/>
      </rPr>
      <t>l</t>
    </r>
    <r>
      <rPr>
        <vertAlign val="subscript"/>
        <sz val="11"/>
        <rFont val="Calibri"/>
        <family val="2"/>
        <scheme val="minor"/>
      </rPr>
      <t>1</t>
    </r>
    <r>
      <rPr>
        <sz val="11"/>
        <rFont val="Calibri"/>
        <family val="2"/>
        <scheme val="minor"/>
      </rPr>
      <t>, inches</t>
    </r>
  </si>
  <si>
    <r>
      <rPr>
        <sz val="16"/>
        <rFont val="French Script MT"/>
        <family val="4"/>
      </rPr>
      <t>l</t>
    </r>
    <r>
      <rPr>
        <vertAlign val="subscript"/>
        <sz val="11"/>
        <rFont val="Calibri"/>
        <family val="2"/>
        <scheme val="minor"/>
      </rPr>
      <t>2</t>
    </r>
    <r>
      <rPr>
        <sz val="11"/>
        <rFont val="Calibri"/>
        <family val="2"/>
        <scheme val="minor"/>
      </rPr>
      <t>, inches</t>
    </r>
  </si>
  <si>
    <r>
      <rPr>
        <sz val="16"/>
        <rFont val="French Script MT"/>
        <family val="4"/>
      </rPr>
      <t>l</t>
    </r>
    <r>
      <rPr>
        <vertAlign val="subscript"/>
        <sz val="11"/>
        <rFont val="Calibri"/>
        <family val="2"/>
        <scheme val="minor"/>
      </rPr>
      <t>3</t>
    </r>
    <r>
      <rPr>
        <sz val="11"/>
        <rFont val="Calibri"/>
        <family val="2"/>
        <scheme val="minor"/>
      </rPr>
      <t>, inches</t>
    </r>
  </si>
  <si>
    <r>
      <rPr>
        <sz val="16"/>
        <rFont val="French Script MT"/>
        <family val="4"/>
      </rPr>
      <t>l</t>
    </r>
    <r>
      <rPr>
        <vertAlign val="subscript"/>
        <sz val="11"/>
        <rFont val="Calibri"/>
        <family val="2"/>
        <scheme val="minor"/>
      </rPr>
      <t>4</t>
    </r>
    <r>
      <rPr>
        <sz val="11"/>
        <rFont val="Calibri"/>
        <family val="2"/>
        <scheme val="minor"/>
      </rPr>
      <t>, inches</t>
    </r>
  </si>
  <si>
    <r>
      <rPr>
        <sz val="10"/>
        <rFont val="Symbol"/>
        <family val="1"/>
        <charset val="2"/>
      </rPr>
      <t>t</t>
    </r>
    <r>
      <rPr>
        <vertAlign val="subscript"/>
        <sz val="10"/>
        <rFont val="Calibri"/>
        <family val="2"/>
        <scheme val="minor"/>
      </rPr>
      <t>test</t>
    </r>
    <r>
      <rPr>
        <sz val="10"/>
        <rFont val="Calibri"/>
        <family val="2"/>
        <scheme val="minor"/>
      </rPr>
      <t xml:space="preserve"> at horiz., lb/ft</t>
    </r>
    <r>
      <rPr>
        <vertAlign val="superscript"/>
        <sz val="10"/>
        <rFont val="Calibri"/>
        <family val="2"/>
        <scheme val="minor"/>
      </rPr>
      <t>2</t>
    </r>
  </si>
  <si>
    <t>TABLE 5:  CHANNEL CONDITIONS</t>
  </si>
  <si>
    <t>Design Inputs</t>
  </si>
  <si>
    <r>
      <t>Longitudinal (bed) slope θ</t>
    </r>
    <r>
      <rPr>
        <vertAlign val="subscript"/>
        <sz val="11"/>
        <rFont val="Calibri"/>
        <family val="2"/>
        <scheme val="minor"/>
      </rPr>
      <t>0</t>
    </r>
    <r>
      <rPr>
        <sz val="11"/>
        <rFont val="Calibri"/>
        <family val="2"/>
        <scheme val="minor"/>
      </rPr>
      <t>, percent</t>
    </r>
  </si>
  <si>
    <r>
      <t>Maximum side slope θ</t>
    </r>
    <r>
      <rPr>
        <vertAlign val="subscript"/>
        <sz val="11"/>
        <rFont val="Calibri"/>
        <family val="2"/>
        <scheme val="minor"/>
      </rPr>
      <t>1</t>
    </r>
    <r>
      <rPr>
        <sz val="11"/>
        <rFont val="Calibri"/>
        <family val="2"/>
        <scheme val="minor"/>
      </rPr>
      <t>, percent</t>
    </r>
  </si>
  <si>
    <t>Design maximum velocity V, ft/s</t>
  </si>
  <si>
    <r>
      <t xml:space="preserve">Design maximum shear stress </t>
    </r>
    <r>
      <rPr>
        <sz val="11"/>
        <rFont val="Symbol"/>
        <family val="1"/>
        <charset val="2"/>
      </rPr>
      <t>t</t>
    </r>
    <r>
      <rPr>
        <vertAlign val="subscript"/>
        <sz val="11"/>
        <rFont val="Calibri"/>
        <family val="2"/>
        <scheme val="minor"/>
      </rPr>
      <t>des</t>
    </r>
    <r>
      <rPr>
        <sz val="11"/>
        <rFont val="Calibri"/>
        <family val="2"/>
        <scheme val="minor"/>
      </rPr>
      <t>, lb/ft</t>
    </r>
    <r>
      <rPr>
        <vertAlign val="superscript"/>
        <sz val="11"/>
        <rFont val="Calibri"/>
        <family val="2"/>
        <scheme val="minor"/>
      </rPr>
      <t>2</t>
    </r>
  </si>
  <si>
    <t>Maximum block placement tolerance, inches</t>
  </si>
  <si>
    <t>Flow direction parallel to the block*:</t>
  </si>
  <si>
    <r>
      <t>Unit weight of water, lb/ft</t>
    </r>
    <r>
      <rPr>
        <vertAlign val="superscript"/>
        <sz val="11"/>
        <rFont val="Calibri"/>
        <family val="2"/>
        <scheme val="minor"/>
      </rPr>
      <t>3</t>
    </r>
  </si>
  <si>
    <r>
      <t>NOTE:</t>
    </r>
    <r>
      <rPr>
        <sz val="11"/>
        <color theme="1"/>
        <rFont val="Calibri"/>
        <family val="2"/>
        <scheme val="minor"/>
      </rPr>
      <t xml:space="preserve"> </t>
    </r>
  </si>
  <si>
    <r>
      <t xml:space="preserve"> Recommended values for density of water are:
 62.4 lb/ft</t>
    </r>
    <r>
      <rPr>
        <vertAlign val="superscript"/>
        <sz val="10"/>
        <rFont val="Calibri"/>
        <family val="2"/>
        <scheme val="minor"/>
      </rPr>
      <t>3</t>
    </r>
    <r>
      <rPr>
        <sz val="11"/>
        <color theme="1"/>
        <rFont val="Calibri"/>
        <family val="2"/>
        <scheme val="minor"/>
      </rPr>
      <t xml:space="preserve"> for fresh water,  64.2 lb/ft</t>
    </r>
    <r>
      <rPr>
        <vertAlign val="superscript"/>
        <sz val="10"/>
        <rFont val="Calibri"/>
        <family val="2"/>
        <scheme val="minor"/>
      </rPr>
      <t>3</t>
    </r>
    <r>
      <rPr>
        <sz val="11"/>
        <color theme="1"/>
        <rFont val="Calibri"/>
        <family val="2"/>
        <scheme val="minor"/>
      </rPr>
      <t xml:space="preserve"> for seawater</t>
    </r>
  </si>
  <si>
    <r>
      <t>Unit weight of concrete, lb/ft</t>
    </r>
    <r>
      <rPr>
        <vertAlign val="superscript"/>
        <sz val="11"/>
        <rFont val="Calibri"/>
        <family val="2"/>
        <scheme val="minor"/>
      </rPr>
      <t>3</t>
    </r>
  </si>
  <si>
    <r>
      <t>Mass density of water, slugs/ft</t>
    </r>
    <r>
      <rPr>
        <vertAlign val="superscript"/>
        <sz val="11"/>
        <rFont val="Calibri"/>
        <family val="2"/>
        <scheme val="minor"/>
      </rPr>
      <t>3</t>
    </r>
  </si>
  <si>
    <t>TABLE 6:  SAFETY FACTOR CALCULATIONS</t>
  </si>
  <si>
    <r>
      <rPr>
        <sz val="11"/>
        <rFont val="Symbol"/>
        <family val="1"/>
        <charset val="2"/>
      </rPr>
      <t>h</t>
    </r>
    <r>
      <rPr>
        <vertAlign val="subscript"/>
        <sz val="11"/>
        <rFont val="Calibri"/>
        <family val="2"/>
        <scheme val="minor"/>
      </rPr>
      <t>0</t>
    </r>
    <r>
      <rPr>
        <sz val="11"/>
        <rFont val="Calibri"/>
        <family val="2"/>
        <scheme val="minor"/>
      </rPr>
      <t xml:space="preserve"> = </t>
    </r>
    <r>
      <rPr>
        <sz val="11"/>
        <rFont val="Symbol"/>
        <family val="1"/>
        <charset val="2"/>
      </rPr>
      <t>t</t>
    </r>
    <r>
      <rPr>
        <vertAlign val="subscript"/>
        <sz val="11"/>
        <rFont val="Calibri"/>
        <family val="2"/>
        <scheme val="minor"/>
      </rPr>
      <t>des</t>
    </r>
    <r>
      <rPr>
        <sz val="11"/>
        <rFont val="Calibri"/>
        <family val="2"/>
        <scheme val="minor"/>
      </rPr>
      <t>/</t>
    </r>
    <r>
      <rPr>
        <sz val="11"/>
        <rFont val="Symbol"/>
        <family val="1"/>
        <charset val="2"/>
      </rPr>
      <t>t</t>
    </r>
    <r>
      <rPr>
        <vertAlign val="subscript"/>
        <sz val="11"/>
        <rFont val="Calibri"/>
        <family val="2"/>
        <scheme val="minor"/>
      </rPr>
      <t>test</t>
    </r>
  </si>
  <si>
    <r>
      <t>a</t>
    </r>
    <r>
      <rPr>
        <vertAlign val="subscript"/>
        <sz val="11"/>
        <rFont val="Calibri"/>
        <family val="2"/>
        <scheme val="minor"/>
      </rPr>
      <t>θ</t>
    </r>
  </si>
  <si>
    <r>
      <t xml:space="preserve">ratio </t>
    </r>
    <r>
      <rPr>
        <sz val="16"/>
        <rFont val="French Script MT"/>
        <family val="4"/>
      </rPr>
      <t>l</t>
    </r>
    <r>
      <rPr>
        <vertAlign val="subscript"/>
        <sz val="11"/>
        <rFont val="Calibri"/>
        <family val="2"/>
        <scheme val="minor"/>
      </rPr>
      <t>2</t>
    </r>
    <r>
      <rPr>
        <sz val="11"/>
        <rFont val="Calibri"/>
        <family val="2"/>
        <scheme val="minor"/>
      </rPr>
      <t>/</t>
    </r>
    <r>
      <rPr>
        <sz val="16"/>
        <rFont val="French Script MT"/>
        <family val="4"/>
      </rPr>
      <t>l</t>
    </r>
    <r>
      <rPr>
        <vertAlign val="subscript"/>
        <sz val="11"/>
        <rFont val="Calibri"/>
        <family val="2"/>
        <scheme val="minor"/>
      </rPr>
      <t>1</t>
    </r>
  </si>
  <si>
    <r>
      <t xml:space="preserve">ratio </t>
    </r>
    <r>
      <rPr>
        <sz val="16"/>
        <rFont val="French Script MT"/>
        <family val="4"/>
      </rPr>
      <t>l</t>
    </r>
    <r>
      <rPr>
        <vertAlign val="subscript"/>
        <sz val="11"/>
        <rFont val="Calibri"/>
        <family val="2"/>
        <scheme val="minor"/>
      </rPr>
      <t>4</t>
    </r>
    <r>
      <rPr>
        <sz val="11"/>
        <rFont val="Calibri"/>
        <family val="2"/>
        <scheme val="minor"/>
      </rPr>
      <t>/</t>
    </r>
    <r>
      <rPr>
        <sz val="16"/>
        <rFont val="French Script MT"/>
        <family val="4"/>
      </rPr>
      <t>l</t>
    </r>
    <r>
      <rPr>
        <vertAlign val="subscript"/>
        <sz val="11"/>
        <rFont val="Calibri"/>
        <family val="2"/>
        <scheme val="minor"/>
      </rPr>
      <t>3</t>
    </r>
  </si>
  <si>
    <t>angle θ (radians)</t>
  </si>
  <si>
    <r>
      <t xml:space="preserve">angle </t>
    </r>
    <r>
      <rPr>
        <sz val="11"/>
        <rFont val="Calibri"/>
        <family val="2"/>
      </rPr>
      <t>β</t>
    </r>
    <r>
      <rPr>
        <sz val="11"/>
        <rFont val="Calibri"/>
        <family val="2"/>
        <scheme val="minor"/>
      </rPr>
      <t xml:space="preserve"> (rad)</t>
    </r>
  </si>
  <si>
    <r>
      <rPr>
        <sz val="11"/>
        <rFont val="Symbol"/>
        <family val="1"/>
        <charset val="2"/>
      </rPr>
      <t>h</t>
    </r>
    <r>
      <rPr>
        <vertAlign val="subscript"/>
        <sz val="11"/>
        <rFont val="Calibri"/>
        <family val="2"/>
        <scheme val="minor"/>
      </rPr>
      <t>1</t>
    </r>
  </si>
  <si>
    <r>
      <t>Drag F'</t>
    </r>
    <r>
      <rPr>
        <vertAlign val="subscript"/>
        <sz val="11"/>
        <rFont val="Calibri"/>
        <family val="2"/>
        <scheme val="minor"/>
      </rPr>
      <t>d</t>
    </r>
    <r>
      <rPr>
        <sz val="11"/>
        <rFont val="Calibri"/>
        <family val="2"/>
        <scheme val="minor"/>
      </rPr>
      <t>, lbs</t>
    </r>
  </si>
  <si>
    <t>Submerged weight (lb)</t>
  </si>
  <si>
    <t>Safety Factor</t>
  </si>
  <si>
    <r>
      <t xml:space="preserve">SF </t>
    </r>
    <r>
      <rPr>
        <sz val="10"/>
        <color theme="1"/>
        <rFont val="Calibri"/>
        <family val="2"/>
      </rPr>
      <t>≥ SF</t>
    </r>
    <r>
      <rPr>
        <vertAlign val="subscript"/>
        <sz val="10"/>
        <color theme="1"/>
        <rFont val="Calibri"/>
        <family val="2"/>
      </rPr>
      <t>goal</t>
    </r>
  </si>
  <si>
    <t>Velocity Check</t>
  </si>
  <si>
    <t>Bed Slope Check</t>
  </si>
  <si>
    <t>Shear Stress Check</t>
  </si>
  <si>
    <t>DESIGN NOTES:</t>
  </si>
  <si>
    <t>FS (For the block selection)</t>
  </si>
  <si>
    <t>Selected System:</t>
  </si>
  <si>
    <t>Sheet 3a:  Shear Velocity Method Calculations - Channel Flow</t>
  </si>
  <si>
    <r>
      <rPr>
        <sz val="16"/>
        <rFont val="French Script MT"/>
        <family val="4"/>
      </rPr>
      <t>l</t>
    </r>
    <r>
      <rPr>
        <vertAlign val="subscript"/>
        <sz val="11"/>
        <rFont val="Calibri"/>
        <family val="2"/>
        <scheme val="minor"/>
      </rPr>
      <t>1</t>
    </r>
    <r>
      <rPr>
        <sz val="11"/>
        <rFont val="Calibri"/>
        <family val="2"/>
        <scheme val="minor"/>
      </rPr>
      <t>, ft</t>
    </r>
  </si>
  <si>
    <r>
      <rPr>
        <sz val="16"/>
        <rFont val="French Script MT"/>
        <family val="4"/>
      </rPr>
      <t>l</t>
    </r>
    <r>
      <rPr>
        <vertAlign val="subscript"/>
        <sz val="11"/>
        <rFont val="Calibri"/>
        <family val="2"/>
        <scheme val="minor"/>
      </rPr>
      <t>2</t>
    </r>
    <r>
      <rPr>
        <sz val="11"/>
        <rFont val="Calibri"/>
        <family val="2"/>
        <scheme val="minor"/>
      </rPr>
      <t>, ft</t>
    </r>
  </si>
  <si>
    <r>
      <rPr>
        <sz val="16"/>
        <rFont val="French Script MT"/>
        <family val="4"/>
      </rPr>
      <t>l</t>
    </r>
    <r>
      <rPr>
        <sz val="11"/>
        <rFont val="Calibri"/>
        <family val="2"/>
        <scheme val="minor"/>
      </rPr>
      <t>'</t>
    </r>
    <r>
      <rPr>
        <vertAlign val="subscript"/>
        <sz val="11"/>
        <rFont val="Calibri"/>
        <family val="2"/>
        <scheme val="minor"/>
      </rPr>
      <t>3</t>
    </r>
    <r>
      <rPr>
        <sz val="11"/>
        <rFont val="Calibri"/>
        <family val="2"/>
        <scheme val="minor"/>
      </rPr>
      <t>, ft*</t>
    </r>
  </si>
  <si>
    <r>
      <rPr>
        <sz val="16"/>
        <rFont val="French Script MT"/>
        <family val="4"/>
      </rPr>
      <t>l</t>
    </r>
    <r>
      <rPr>
        <vertAlign val="subscript"/>
        <sz val="11"/>
        <rFont val="Calibri"/>
        <family val="2"/>
        <scheme val="minor"/>
      </rPr>
      <t>4</t>
    </r>
    <r>
      <rPr>
        <sz val="11"/>
        <rFont val="Calibri"/>
        <family val="2"/>
        <scheme val="minor"/>
      </rPr>
      <t>, ft</t>
    </r>
  </si>
  <si>
    <r>
      <rPr>
        <sz val="16"/>
        <rFont val="French Script MT"/>
        <family val="4"/>
      </rPr>
      <t>l</t>
    </r>
    <r>
      <rPr>
        <sz val="11"/>
        <rFont val="Calibri"/>
        <family val="2"/>
        <scheme val="minor"/>
      </rPr>
      <t>'</t>
    </r>
    <r>
      <rPr>
        <vertAlign val="subscript"/>
        <sz val="11"/>
        <rFont val="Calibri"/>
        <family val="2"/>
        <scheme val="minor"/>
      </rPr>
      <t>5</t>
    </r>
    <r>
      <rPr>
        <sz val="11"/>
        <rFont val="Calibri"/>
        <family val="2"/>
        <scheme val="minor"/>
      </rPr>
      <t>, ft</t>
    </r>
  </si>
  <si>
    <r>
      <rPr>
        <sz val="16"/>
        <rFont val="French Script MT"/>
        <family val="4"/>
      </rPr>
      <t>l</t>
    </r>
    <r>
      <rPr>
        <sz val="11"/>
        <rFont val="Calibri"/>
        <family val="2"/>
        <scheme val="minor"/>
      </rPr>
      <t>'</t>
    </r>
    <r>
      <rPr>
        <vertAlign val="subscript"/>
        <sz val="11"/>
        <rFont val="Calibri"/>
        <family val="2"/>
        <scheme val="minor"/>
      </rPr>
      <t>6</t>
    </r>
    <r>
      <rPr>
        <sz val="11"/>
        <rFont val="Calibri"/>
        <family val="2"/>
        <scheme val="minor"/>
      </rPr>
      <t>, ft</t>
    </r>
  </si>
  <si>
    <r>
      <rPr>
        <sz val="16"/>
        <rFont val="French Script MT"/>
        <family val="4"/>
      </rPr>
      <t>l</t>
    </r>
    <r>
      <rPr>
        <sz val="11"/>
        <rFont val="Calibri"/>
        <family val="2"/>
        <scheme val="minor"/>
      </rPr>
      <t>'</t>
    </r>
    <r>
      <rPr>
        <vertAlign val="subscript"/>
        <sz val="11"/>
        <rFont val="Calibri"/>
        <family val="2"/>
        <scheme val="minor"/>
      </rPr>
      <t>7</t>
    </r>
    <r>
      <rPr>
        <sz val="11"/>
        <rFont val="Calibri"/>
        <family val="2"/>
        <scheme val="minor"/>
      </rPr>
      <t>, ft</t>
    </r>
  </si>
  <si>
    <r>
      <rPr>
        <sz val="16"/>
        <rFont val="French Script MT"/>
        <family val="4"/>
      </rPr>
      <t>l</t>
    </r>
    <r>
      <rPr>
        <sz val="11"/>
        <rFont val="Calibri"/>
        <family val="2"/>
        <scheme val="minor"/>
      </rPr>
      <t>'</t>
    </r>
    <r>
      <rPr>
        <vertAlign val="subscript"/>
        <sz val="11"/>
        <rFont val="Calibri"/>
        <family val="2"/>
        <scheme val="minor"/>
      </rPr>
      <t>8</t>
    </r>
    <r>
      <rPr>
        <sz val="11"/>
        <rFont val="Calibri"/>
        <family val="2"/>
        <scheme val="minor"/>
      </rPr>
      <t>, ft</t>
    </r>
  </si>
  <si>
    <r>
      <rPr>
        <sz val="16"/>
        <rFont val="French Script MT"/>
        <family val="4"/>
      </rPr>
      <t>l</t>
    </r>
    <r>
      <rPr>
        <vertAlign val="subscript"/>
        <sz val="11"/>
        <rFont val="Calibri"/>
        <family val="2"/>
        <scheme val="minor"/>
      </rPr>
      <t>p</t>
    </r>
    <r>
      <rPr>
        <sz val="11"/>
        <rFont val="Calibri"/>
        <family val="2"/>
        <scheme val="minor"/>
      </rPr>
      <t>, ft</t>
    </r>
  </si>
  <si>
    <r>
      <rPr>
        <sz val="16"/>
        <rFont val="French Script MT"/>
        <family val="4"/>
      </rPr>
      <t>l</t>
    </r>
    <r>
      <rPr>
        <vertAlign val="subscript"/>
        <sz val="11"/>
        <rFont val="Calibri"/>
        <family val="2"/>
        <scheme val="minor"/>
      </rPr>
      <t>n</t>
    </r>
    <r>
      <rPr>
        <sz val="11"/>
        <rFont val="Calibri"/>
        <family val="2"/>
        <scheme val="minor"/>
      </rPr>
      <t>, ft</t>
    </r>
  </si>
  <si>
    <r>
      <t>C</t>
    </r>
    <r>
      <rPr>
        <vertAlign val="subscript"/>
        <sz val="11"/>
        <rFont val="Calibri"/>
        <family val="2"/>
        <scheme val="minor"/>
      </rPr>
      <t>BL</t>
    </r>
  </si>
  <si>
    <t>W (lb)</t>
  </si>
  <si>
    <r>
      <t>A</t>
    </r>
    <r>
      <rPr>
        <vertAlign val="subscript"/>
        <sz val="11"/>
        <rFont val="Calibri"/>
        <family val="2"/>
        <scheme val="minor"/>
      </rPr>
      <t>B</t>
    </r>
    <r>
      <rPr>
        <sz val="11"/>
        <rFont val="Calibri"/>
        <family val="2"/>
        <scheme val="minor"/>
      </rPr>
      <t>, ft</t>
    </r>
    <r>
      <rPr>
        <vertAlign val="superscript"/>
        <sz val="11"/>
        <rFont val="Calibri"/>
        <family val="2"/>
        <scheme val="minor"/>
      </rPr>
      <t>2</t>
    </r>
  </si>
  <si>
    <r>
      <rPr>
        <sz val="11"/>
        <rFont val="Symbol"/>
        <family val="1"/>
        <charset val="2"/>
      </rPr>
      <t>t</t>
    </r>
    <r>
      <rPr>
        <vertAlign val="subscript"/>
        <sz val="11"/>
        <rFont val="Calibri"/>
        <family val="2"/>
        <scheme val="minor"/>
      </rPr>
      <t>test</t>
    </r>
    <r>
      <rPr>
        <sz val="11"/>
        <rFont val="Calibri"/>
        <family val="2"/>
        <scheme val="minor"/>
      </rPr>
      <t xml:space="preserve"> at horiz., lb/ft</t>
    </r>
    <r>
      <rPr>
        <vertAlign val="superscript"/>
        <sz val="11"/>
        <rFont val="Calibri"/>
        <family val="2"/>
        <scheme val="minor"/>
      </rPr>
      <t>2</t>
    </r>
  </si>
  <si>
    <r>
      <t xml:space="preserve">* </t>
    </r>
    <r>
      <rPr>
        <sz val="11"/>
        <rFont val="Calibri"/>
        <family val="2"/>
      </rPr>
      <t>ℓ</t>
    </r>
    <r>
      <rPr>
        <vertAlign val="subscript"/>
        <sz val="11"/>
        <rFont val="Calibri"/>
        <family val="2"/>
        <scheme val="minor"/>
      </rPr>
      <t>3</t>
    </r>
    <r>
      <rPr>
        <sz val="11"/>
        <rFont val="Calibri"/>
        <family val="2"/>
        <scheme val="minor"/>
      </rPr>
      <t xml:space="preserve"> considers the whole height of the block.</t>
    </r>
  </si>
  <si>
    <t>COPIED VALUES</t>
  </si>
  <si>
    <r>
      <t>Side slope relative to bed θ</t>
    </r>
    <r>
      <rPr>
        <vertAlign val="subscript"/>
        <sz val="11"/>
        <rFont val="Calibri"/>
        <family val="2"/>
        <scheme val="minor"/>
      </rPr>
      <t>2</t>
    </r>
    <r>
      <rPr>
        <sz val="11"/>
        <rFont val="Calibri"/>
        <family val="2"/>
        <scheme val="minor"/>
      </rPr>
      <t>, percent</t>
    </r>
  </si>
  <si>
    <r>
      <t>angle θ</t>
    </r>
    <r>
      <rPr>
        <vertAlign val="subscript"/>
        <sz val="11"/>
        <rFont val="Calibri"/>
        <family val="2"/>
        <scheme val="minor"/>
      </rPr>
      <t>2</t>
    </r>
    <r>
      <rPr>
        <sz val="11"/>
        <rFont val="Calibri"/>
        <family val="2"/>
        <scheme val="minor"/>
      </rPr>
      <t xml:space="preserve"> (radians)</t>
    </r>
  </si>
  <si>
    <r>
      <t>Drag F</t>
    </r>
    <r>
      <rPr>
        <vertAlign val="subscript"/>
        <sz val="11"/>
        <rFont val="Calibri"/>
        <family val="2"/>
        <scheme val="minor"/>
      </rPr>
      <t>d</t>
    </r>
    <r>
      <rPr>
        <sz val="11"/>
        <rFont val="Calibri"/>
        <family val="2"/>
        <scheme val="minor"/>
      </rPr>
      <t>, lbs</t>
    </r>
  </si>
  <si>
    <r>
      <t>Lift F</t>
    </r>
    <r>
      <rPr>
        <vertAlign val="subscript"/>
        <sz val="11"/>
        <rFont val="Calibri"/>
        <family val="2"/>
        <scheme val="minor"/>
      </rPr>
      <t>L</t>
    </r>
    <r>
      <rPr>
        <sz val="11"/>
        <rFont val="Calibri"/>
        <family val="2"/>
        <scheme val="minor"/>
      </rPr>
      <t>, lbs</t>
    </r>
  </si>
  <si>
    <t>b (ft)</t>
  </si>
  <si>
    <r>
      <t>Extra Drag F'</t>
    </r>
    <r>
      <rPr>
        <vertAlign val="subscript"/>
        <sz val="11"/>
        <rFont val="Calibri"/>
        <family val="2"/>
        <scheme val="minor"/>
      </rPr>
      <t>d</t>
    </r>
    <r>
      <rPr>
        <sz val="11"/>
        <rFont val="Calibri"/>
        <family val="2"/>
        <scheme val="minor"/>
      </rPr>
      <t xml:space="preserve"> and F'</t>
    </r>
    <r>
      <rPr>
        <vertAlign val="subscript"/>
        <sz val="11"/>
        <rFont val="Calibri"/>
        <family val="2"/>
        <scheme val="minor"/>
      </rPr>
      <t>L</t>
    </r>
    <r>
      <rPr>
        <sz val="11"/>
        <rFont val="Calibri"/>
        <family val="2"/>
        <scheme val="minor"/>
      </rPr>
      <t>, lbs</t>
    </r>
  </si>
  <si>
    <r>
      <t>Submerged weight W</t>
    </r>
    <r>
      <rPr>
        <vertAlign val="subscript"/>
        <sz val="11"/>
        <rFont val="Calibri"/>
        <family val="2"/>
        <scheme val="minor"/>
      </rPr>
      <t>s</t>
    </r>
    <r>
      <rPr>
        <sz val="11"/>
        <rFont val="Calibri"/>
        <family val="2"/>
        <scheme val="minor"/>
      </rPr>
      <t>, lb</t>
    </r>
  </si>
  <si>
    <r>
      <t>W</t>
    </r>
    <r>
      <rPr>
        <vertAlign val="subscript"/>
        <sz val="11"/>
        <rFont val="Calibri"/>
        <family val="2"/>
        <scheme val="minor"/>
      </rPr>
      <t>sx</t>
    </r>
    <r>
      <rPr>
        <sz val="11"/>
        <rFont val="Calibri"/>
        <family val="2"/>
        <scheme val="minor"/>
      </rPr>
      <t>, lb</t>
    </r>
  </si>
  <si>
    <r>
      <t>W</t>
    </r>
    <r>
      <rPr>
        <vertAlign val="subscript"/>
        <sz val="11"/>
        <rFont val="Calibri"/>
        <family val="2"/>
        <scheme val="minor"/>
      </rPr>
      <t>sy</t>
    </r>
    <r>
      <rPr>
        <sz val="11"/>
        <rFont val="Calibri"/>
        <family val="2"/>
        <scheme val="minor"/>
      </rPr>
      <t>, lb</t>
    </r>
  </si>
  <si>
    <r>
      <t>W</t>
    </r>
    <r>
      <rPr>
        <vertAlign val="subscript"/>
        <sz val="11"/>
        <rFont val="Calibri"/>
        <family val="2"/>
        <scheme val="minor"/>
      </rPr>
      <t>sz</t>
    </r>
    <r>
      <rPr>
        <sz val="11"/>
        <rFont val="Calibri"/>
        <family val="2"/>
        <scheme val="minor"/>
      </rPr>
      <t>, lb</t>
    </r>
  </si>
  <si>
    <r>
      <t>SF</t>
    </r>
    <r>
      <rPr>
        <b/>
        <vertAlign val="subscript"/>
        <sz val="11"/>
        <rFont val="Calibri"/>
        <family val="2"/>
        <scheme val="minor"/>
      </rPr>
      <t>M</t>
    </r>
  </si>
  <si>
    <r>
      <t>SF</t>
    </r>
    <r>
      <rPr>
        <b/>
        <vertAlign val="subscript"/>
        <sz val="11"/>
        <rFont val="Calibri"/>
        <family val="2"/>
        <scheme val="minor"/>
      </rPr>
      <t>P</t>
    </r>
  </si>
  <si>
    <r>
      <t>SF</t>
    </r>
    <r>
      <rPr>
        <b/>
        <vertAlign val="subscript"/>
        <sz val="11"/>
        <rFont val="Calibri"/>
        <family val="2"/>
        <scheme val="minor"/>
      </rPr>
      <t>O</t>
    </r>
  </si>
  <si>
    <r>
      <t>SF</t>
    </r>
    <r>
      <rPr>
        <b/>
        <vertAlign val="subscript"/>
        <sz val="11"/>
        <rFont val="Calibri"/>
        <family val="2"/>
        <scheme val="minor"/>
      </rPr>
      <t>MIN</t>
    </r>
  </si>
  <si>
    <t>Sheet 3b:  Shear Velocity Method Calculations - Overtopping Flow</t>
  </si>
  <si>
    <r>
      <t>SF</t>
    </r>
    <r>
      <rPr>
        <b/>
        <vertAlign val="subscript"/>
        <sz val="11"/>
        <rFont val="Calibri"/>
        <family val="2"/>
        <scheme val="minor"/>
      </rPr>
      <t>BED</t>
    </r>
  </si>
  <si>
    <t xml:space="preserve">Sheet 4: Geotextile Selection and Granular Filter Design </t>
  </si>
  <si>
    <t>1. BASE SOIL INFORMATION</t>
  </si>
  <si>
    <t>Reddish Brown Clayey Silt</t>
  </si>
  <si>
    <t>Percent of</t>
  </si>
  <si>
    <t>Gravel:</t>
  </si>
  <si>
    <t>Fines:</t>
  </si>
  <si>
    <t>Clay:</t>
  </si>
  <si>
    <t>Plasticity Index:</t>
  </si>
  <si>
    <t>Permeability of base soil, Ks (cm/s):</t>
  </si>
  <si>
    <t>Undrained Cohesion, c (kPa):</t>
  </si>
  <si>
    <t>FILTER DESIGN</t>
  </si>
  <si>
    <t>2. From Figure 5.5 – Geotextile Criterion Based on (mark with an X)</t>
  </si>
  <si>
    <t>Base Soil Properties</t>
  </si>
  <si>
    <t>Granular Filter Properties</t>
  </si>
  <si>
    <t>X</t>
  </si>
  <si>
    <t>For Granular Filter Only from Figure 5.5</t>
  </si>
  <si>
    <t>Potential Granular Fill Properties</t>
  </si>
  <si>
    <r>
      <t>d</t>
    </r>
    <r>
      <rPr>
        <vertAlign val="subscript"/>
        <sz val="11"/>
        <color theme="1"/>
        <rFont val="Calibri"/>
        <family val="2"/>
        <scheme val="minor"/>
      </rPr>
      <t>10</t>
    </r>
    <r>
      <rPr>
        <sz val="11"/>
        <color theme="1"/>
        <rFont val="Calibri"/>
        <family val="2"/>
        <scheme val="minor"/>
      </rPr>
      <t xml:space="preserve"> </t>
    </r>
    <r>
      <rPr>
        <vertAlign val="subscript"/>
        <sz val="11"/>
        <color theme="1"/>
        <rFont val="Calibri"/>
        <family val="2"/>
        <scheme val="minor"/>
      </rPr>
      <t>BASE</t>
    </r>
    <r>
      <rPr>
        <sz val="11"/>
        <color theme="1"/>
        <rFont val="Calibri"/>
        <family val="2"/>
        <scheme val="minor"/>
      </rPr>
      <t xml:space="preserve"> (mm):</t>
    </r>
  </si>
  <si>
    <r>
      <t>d</t>
    </r>
    <r>
      <rPr>
        <vertAlign val="subscript"/>
        <sz val="11"/>
        <color theme="1"/>
        <rFont val="Calibri"/>
        <family val="2"/>
        <scheme val="minor"/>
      </rPr>
      <t>10 FILTER</t>
    </r>
    <r>
      <rPr>
        <sz val="11"/>
        <color theme="1"/>
        <rFont val="Calibri"/>
        <family val="2"/>
        <scheme val="minor"/>
      </rPr>
      <t xml:space="preserve"> (mm):</t>
    </r>
  </si>
  <si>
    <r>
      <t>d</t>
    </r>
    <r>
      <rPr>
        <vertAlign val="subscript"/>
        <sz val="11"/>
        <color theme="1"/>
        <rFont val="Calibri"/>
        <family val="2"/>
        <scheme val="minor"/>
      </rPr>
      <t>50</t>
    </r>
    <r>
      <rPr>
        <sz val="11"/>
        <color theme="1"/>
        <rFont val="Calibri"/>
        <family val="2"/>
        <scheme val="minor"/>
      </rPr>
      <t xml:space="preserve"> </t>
    </r>
    <r>
      <rPr>
        <vertAlign val="subscript"/>
        <sz val="11"/>
        <color theme="1"/>
        <rFont val="Calibri"/>
        <family val="2"/>
        <scheme val="minor"/>
      </rPr>
      <t>BASE</t>
    </r>
    <r>
      <rPr>
        <sz val="11"/>
        <color theme="1"/>
        <rFont val="Calibri"/>
        <family val="2"/>
        <scheme val="minor"/>
      </rPr>
      <t xml:space="preserve"> (mm):</t>
    </r>
  </si>
  <si>
    <r>
      <t>d</t>
    </r>
    <r>
      <rPr>
        <vertAlign val="subscript"/>
        <sz val="11"/>
        <color theme="1"/>
        <rFont val="Calibri"/>
        <family val="2"/>
        <scheme val="minor"/>
      </rPr>
      <t>50 FILTER</t>
    </r>
    <r>
      <rPr>
        <sz val="11"/>
        <color theme="1"/>
        <rFont val="Calibri"/>
        <family val="2"/>
        <scheme val="minor"/>
      </rPr>
      <t xml:space="preserve"> (mm):</t>
    </r>
  </si>
  <si>
    <r>
      <t>d</t>
    </r>
    <r>
      <rPr>
        <vertAlign val="subscript"/>
        <sz val="11"/>
        <color theme="1"/>
        <rFont val="Calibri"/>
        <family val="2"/>
        <scheme val="minor"/>
      </rPr>
      <t>60</t>
    </r>
    <r>
      <rPr>
        <sz val="11"/>
        <color theme="1"/>
        <rFont val="Calibri"/>
        <family val="2"/>
        <scheme val="minor"/>
      </rPr>
      <t xml:space="preserve"> </t>
    </r>
    <r>
      <rPr>
        <vertAlign val="subscript"/>
        <sz val="11"/>
        <color theme="1"/>
        <rFont val="Calibri"/>
        <family val="2"/>
        <scheme val="minor"/>
      </rPr>
      <t>BASE</t>
    </r>
    <r>
      <rPr>
        <sz val="11"/>
        <color theme="1"/>
        <rFont val="Calibri"/>
        <family val="2"/>
        <scheme val="minor"/>
      </rPr>
      <t xml:space="preserve"> (mm):</t>
    </r>
  </si>
  <si>
    <r>
      <t>d</t>
    </r>
    <r>
      <rPr>
        <vertAlign val="subscript"/>
        <sz val="11"/>
        <color theme="1"/>
        <rFont val="Calibri"/>
        <family val="2"/>
        <scheme val="minor"/>
      </rPr>
      <t>60 FILTER</t>
    </r>
    <r>
      <rPr>
        <sz val="11"/>
        <color theme="1"/>
        <rFont val="Calibri"/>
        <family val="2"/>
        <scheme val="minor"/>
      </rPr>
      <t xml:space="preserve"> (mm):</t>
    </r>
  </si>
  <si>
    <r>
      <t>C</t>
    </r>
    <r>
      <rPr>
        <vertAlign val="subscript"/>
        <sz val="11"/>
        <color theme="1"/>
        <rFont val="Calibri"/>
        <family val="2"/>
        <scheme val="minor"/>
      </rPr>
      <t>U</t>
    </r>
    <r>
      <rPr>
        <sz val="11"/>
        <color theme="1"/>
        <rFont val="Calibri"/>
        <family val="2"/>
        <scheme val="minor"/>
      </rPr>
      <t xml:space="preserve"> </t>
    </r>
    <r>
      <rPr>
        <vertAlign val="subscript"/>
        <sz val="11"/>
        <color theme="1"/>
        <rFont val="Calibri"/>
        <family val="2"/>
        <scheme val="minor"/>
      </rPr>
      <t xml:space="preserve">BASE </t>
    </r>
    <r>
      <rPr>
        <sz val="11"/>
        <color theme="1"/>
        <rFont val="Calibri"/>
        <family val="2"/>
        <scheme val="minor"/>
      </rPr>
      <t>:</t>
    </r>
  </si>
  <si>
    <r>
      <t>d</t>
    </r>
    <r>
      <rPr>
        <vertAlign val="subscript"/>
        <sz val="11"/>
        <color theme="1"/>
        <rFont val="Calibri"/>
        <family val="2"/>
        <scheme val="minor"/>
      </rPr>
      <t>60</t>
    </r>
  </si>
  <si>
    <t>=</t>
  </si>
  <si>
    <r>
      <t>C</t>
    </r>
    <r>
      <rPr>
        <vertAlign val="subscript"/>
        <sz val="11"/>
        <color theme="1"/>
        <rFont val="Calibri"/>
        <family val="2"/>
        <scheme val="minor"/>
      </rPr>
      <t>U</t>
    </r>
    <r>
      <rPr>
        <sz val="11"/>
        <color theme="1"/>
        <rFont val="Calibri"/>
        <family val="2"/>
        <scheme val="minor"/>
      </rPr>
      <t xml:space="preserve"> </t>
    </r>
    <r>
      <rPr>
        <vertAlign val="subscript"/>
        <sz val="11"/>
        <color theme="1"/>
        <rFont val="Calibri"/>
        <family val="2"/>
        <scheme val="minor"/>
      </rPr>
      <t xml:space="preserve">FILTER </t>
    </r>
    <r>
      <rPr>
        <sz val="11"/>
        <color theme="1"/>
        <rFont val="Calibri"/>
        <family val="2"/>
        <scheme val="minor"/>
      </rPr>
      <t>:</t>
    </r>
  </si>
  <si>
    <r>
      <t>d</t>
    </r>
    <r>
      <rPr>
        <vertAlign val="subscript"/>
        <sz val="11"/>
        <color theme="1"/>
        <rFont val="Calibri"/>
        <family val="2"/>
        <scheme val="minor"/>
      </rPr>
      <t>10</t>
    </r>
  </si>
  <si>
    <t>2a. Granular Filter Retention and Permeability Criteria from Fig. 5.6</t>
  </si>
  <si>
    <r>
      <t>Max. all. d</t>
    </r>
    <r>
      <rPr>
        <vertAlign val="subscript"/>
        <sz val="11"/>
        <color theme="1"/>
        <rFont val="Calibri"/>
        <family val="2"/>
        <scheme val="minor"/>
      </rPr>
      <t>50 FILTER</t>
    </r>
    <r>
      <rPr>
        <sz val="11"/>
        <color theme="1"/>
        <rFont val="Calibri"/>
        <family val="2"/>
        <scheme val="minor"/>
      </rPr>
      <t xml:space="preserve">: </t>
    </r>
  </si>
  <si>
    <r>
      <t>A</t>
    </r>
    <r>
      <rPr>
        <vertAlign val="subscript"/>
        <sz val="11"/>
        <color theme="1"/>
        <rFont val="Calibri"/>
        <family val="2"/>
        <scheme val="minor"/>
      </rPr>
      <t>50</t>
    </r>
    <r>
      <rPr>
        <sz val="11"/>
        <color theme="1"/>
        <rFont val="Calibri"/>
        <family val="2"/>
        <scheme val="minor"/>
      </rPr>
      <t xml:space="preserve"> x d</t>
    </r>
    <r>
      <rPr>
        <vertAlign val="subscript"/>
        <sz val="11"/>
        <color theme="1"/>
        <rFont val="Calibri"/>
        <family val="2"/>
        <scheme val="minor"/>
      </rPr>
      <t>50 BASE</t>
    </r>
  </si>
  <si>
    <t>x</t>
  </si>
  <si>
    <t>Is the granular fill appropriate?:</t>
  </si>
  <si>
    <t>Description of Selected Material:</t>
  </si>
  <si>
    <t>Pit Run Sand</t>
  </si>
  <si>
    <t>Geotextile Retention Criterion from Figure 5.5</t>
  </si>
  <si>
    <r>
      <t>C</t>
    </r>
    <r>
      <rPr>
        <vertAlign val="subscript"/>
        <sz val="11"/>
        <color theme="1"/>
        <rFont val="Calibri"/>
        <family val="2"/>
        <scheme val="minor"/>
      </rPr>
      <t>U</t>
    </r>
    <r>
      <rPr>
        <sz val="11"/>
        <color theme="1"/>
        <rFont val="Calibri"/>
        <family val="2"/>
        <scheme val="minor"/>
      </rPr>
      <t xml:space="preserve"> =</t>
    </r>
  </si>
  <si>
    <t>Base Soil or Granular Filter Particle Sizes</t>
  </si>
  <si>
    <r>
      <t>d</t>
    </r>
    <r>
      <rPr>
        <vertAlign val="subscript"/>
        <sz val="11"/>
        <color theme="1"/>
        <rFont val="Calibri"/>
        <family val="2"/>
        <scheme val="minor"/>
      </rPr>
      <t>10</t>
    </r>
    <r>
      <rPr>
        <sz val="11"/>
        <color theme="1"/>
        <rFont val="Calibri"/>
        <family val="2"/>
        <scheme val="minor"/>
      </rPr>
      <t xml:space="preserve"> (mm):</t>
    </r>
  </si>
  <si>
    <t>currents are (mark with an X)</t>
  </si>
  <si>
    <r>
      <t>d</t>
    </r>
    <r>
      <rPr>
        <vertAlign val="subscript"/>
        <sz val="11"/>
        <color theme="1"/>
        <rFont val="Calibri"/>
        <family val="2"/>
        <scheme val="minor"/>
      </rPr>
      <t>50</t>
    </r>
    <r>
      <rPr>
        <sz val="11"/>
        <color theme="1"/>
        <rFont val="Calibri"/>
        <family val="2"/>
        <scheme val="minor"/>
      </rPr>
      <t xml:space="preserve"> (mm):</t>
    </r>
  </si>
  <si>
    <t xml:space="preserve">          mild</t>
  </si>
  <si>
    <t>severe</t>
  </si>
  <si>
    <r>
      <t>d</t>
    </r>
    <r>
      <rPr>
        <vertAlign val="subscript"/>
        <sz val="11"/>
        <color theme="1"/>
        <rFont val="Calibri"/>
        <family val="2"/>
        <scheme val="minor"/>
      </rPr>
      <t>60</t>
    </r>
    <r>
      <rPr>
        <sz val="11"/>
        <color theme="1"/>
        <rFont val="Calibri"/>
        <family val="2"/>
        <scheme val="minor"/>
      </rPr>
      <t xml:space="preserve"> (mm):</t>
    </r>
  </si>
  <si>
    <r>
      <t>geotextile retention criteria for O</t>
    </r>
    <r>
      <rPr>
        <vertAlign val="subscript"/>
        <sz val="11"/>
        <color theme="1"/>
        <rFont val="Calibri"/>
        <family val="2"/>
        <scheme val="minor"/>
      </rPr>
      <t>95</t>
    </r>
  </si>
  <si>
    <r>
      <t>d</t>
    </r>
    <r>
      <rPr>
        <vertAlign val="subscript"/>
        <sz val="11"/>
        <color theme="1"/>
        <rFont val="Calibri"/>
        <family val="2"/>
        <scheme val="minor"/>
      </rPr>
      <t>90</t>
    </r>
    <r>
      <rPr>
        <sz val="11"/>
        <color theme="1"/>
        <rFont val="Calibri"/>
        <family val="2"/>
        <scheme val="minor"/>
      </rPr>
      <t xml:space="preserve"> (mm):</t>
    </r>
  </si>
  <si>
    <t>continued on next page →</t>
  </si>
  <si>
    <t>3. Geotextile Permeability Criterion</t>
  </si>
  <si>
    <t>Soil permeability determined from (mark with an X)</t>
  </si>
  <si>
    <t>Fair-Hatch Equation</t>
  </si>
  <si>
    <t>laboratory testing of soil</t>
  </si>
  <si>
    <t>Other</t>
  </si>
  <si>
    <r>
      <t>Explain</t>
    </r>
    <r>
      <rPr>
        <u/>
        <sz val="11"/>
        <color theme="1"/>
        <rFont val="Calibri"/>
        <family val="2"/>
        <scheme val="minor"/>
      </rPr>
      <t xml:space="preserve"> </t>
    </r>
  </si>
  <si>
    <r>
      <t>K</t>
    </r>
    <r>
      <rPr>
        <vertAlign val="subscript"/>
        <sz val="11"/>
        <color theme="1"/>
        <rFont val="Calibri"/>
        <family val="2"/>
        <scheme val="minor"/>
      </rPr>
      <t>s</t>
    </r>
    <r>
      <rPr>
        <sz val="11"/>
        <color theme="1"/>
        <rFont val="Calibri"/>
        <family val="2"/>
        <scheme val="minor"/>
      </rPr>
      <t xml:space="preserve"> (cm/s):</t>
    </r>
  </si>
  <si>
    <r>
      <t>geotextile permeability criterion:  K</t>
    </r>
    <r>
      <rPr>
        <vertAlign val="subscript"/>
        <sz val="11"/>
        <color theme="1"/>
        <rFont val="Calibri"/>
        <family val="2"/>
        <scheme val="minor"/>
      </rPr>
      <t>g</t>
    </r>
    <r>
      <rPr>
        <sz val="11"/>
        <color theme="1"/>
        <rFont val="Calibri"/>
        <family val="2"/>
        <scheme val="minor"/>
      </rPr>
      <t xml:space="preserve"> ≥ 10K</t>
    </r>
    <r>
      <rPr>
        <vertAlign val="subscript"/>
        <sz val="11"/>
        <color theme="1"/>
        <rFont val="Calibri"/>
        <family val="2"/>
        <scheme val="minor"/>
      </rPr>
      <t>s</t>
    </r>
    <r>
      <rPr>
        <sz val="11"/>
        <color theme="1"/>
        <rFont val="Calibri"/>
        <family val="2"/>
        <scheme val="minor"/>
      </rPr>
      <t xml:space="preserve"> ≥ </t>
    </r>
  </si>
  <si>
    <t>cm/s</t>
  </si>
  <si>
    <t>4 and 5. Geotextile Strength Screening Table (Table 5-5)</t>
  </si>
  <si>
    <t>Do not modify. This is used to determnie the properties the geotextile material needs to meet</t>
  </si>
  <si>
    <t>Application Condition?(select):</t>
  </si>
  <si>
    <t>Class 3</t>
  </si>
  <si>
    <t>Elongation (select):</t>
  </si>
  <si>
    <t>Elongation &lt;50%</t>
  </si>
  <si>
    <r>
      <t xml:space="preserve">Table 5‑5: </t>
    </r>
    <r>
      <rPr>
        <sz val="10"/>
        <color theme="1"/>
        <rFont val="Roboto Light"/>
      </rPr>
      <t>Geotextile Strength Requirements</t>
    </r>
    <r>
      <rPr>
        <vertAlign val="superscript"/>
        <sz val="10"/>
        <color theme="1"/>
        <rFont val="Roboto Light"/>
      </rPr>
      <t>A</t>
    </r>
  </si>
  <si>
    <t>Geotextile</t>
  </si>
  <si>
    <t>Selected Woven Geotextile Products</t>
  </si>
  <si>
    <t>Class 1</t>
  </si>
  <si>
    <t>Class 2</t>
  </si>
  <si>
    <t>Strength</t>
  </si>
  <si>
    <t>121F</t>
  </si>
  <si>
    <t>113-004</t>
  </si>
  <si>
    <t>XW45</t>
  </si>
  <si>
    <t>Property</t>
  </si>
  <si>
    <t>ASTM Methods</t>
  </si>
  <si>
    <t>Units</t>
  </si>
  <si>
    <t>Elongation &gt;50%</t>
  </si>
  <si>
    <r>
      <t>Properties</t>
    </r>
    <r>
      <rPr>
        <b/>
        <vertAlign val="superscript"/>
        <sz val="11"/>
        <color theme="1"/>
        <rFont val="Calibri"/>
        <family val="2"/>
        <scheme val="minor"/>
      </rPr>
      <t>*</t>
    </r>
  </si>
  <si>
    <t>Value</t>
  </si>
  <si>
    <t>Satisfactory?</t>
  </si>
  <si>
    <t>Grab Strength</t>
  </si>
  <si>
    <t>D4632/</t>
  </si>
  <si>
    <t>lb</t>
  </si>
  <si>
    <t>Grab Strength (lb)</t>
  </si>
  <si>
    <r>
      <t>Sewn Seam Strength</t>
    </r>
    <r>
      <rPr>
        <b/>
        <vertAlign val="superscript"/>
        <sz val="9.5"/>
        <color theme="1"/>
        <rFont val="Times New Roman"/>
        <family val="1"/>
      </rPr>
      <t>B</t>
    </r>
  </si>
  <si>
    <t>Tear Strength</t>
  </si>
  <si>
    <t>D4533/</t>
  </si>
  <si>
    <r>
      <t xml:space="preserve">Elongation </t>
    </r>
    <r>
      <rPr>
        <sz val="11"/>
        <color theme="1"/>
        <rFont val="Calibri"/>
        <family val="2"/>
        <scheme val="minor"/>
      </rPr>
      <t>(%)</t>
    </r>
  </si>
  <si>
    <t>Puncture Strength</t>
  </si>
  <si>
    <t>D4833/</t>
  </si>
  <si>
    <t>Trapezoidal Tear Strength (lb)</t>
  </si>
  <si>
    <t>Puncture Strength (lb)</t>
  </si>
  <si>
    <t xml:space="preserve">Note: use additional tables if more than three products are being evaluated </t>
  </si>
  <si>
    <t>6. Select the Final Geotextile</t>
  </si>
  <si>
    <t>Manufacturer/Selected Geotextile</t>
  </si>
  <si>
    <t>Geotextile Fabrics, Inc./XW45</t>
  </si>
  <si>
    <t>Type of geotextile structure (mark with an X):</t>
  </si>
  <si>
    <t>Woven</t>
  </si>
  <si>
    <t>Non - Woven</t>
  </si>
  <si>
    <r>
      <t>O</t>
    </r>
    <r>
      <rPr>
        <vertAlign val="subscript"/>
        <sz val="11"/>
        <color theme="1"/>
        <rFont val="Calibri"/>
        <family val="2"/>
        <scheme val="minor"/>
      </rPr>
      <t>95</t>
    </r>
    <r>
      <rPr>
        <sz val="11"/>
        <color theme="1"/>
        <rFont val="Calibri"/>
        <family val="2"/>
        <scheme val="minor"/>
      </rPr>
      <t xml:space="preserve"> (mm):</t>
    </r>
  </si>
  <si>
    <r>
      <t>K</t>
    </r>
    <r>
      <rPr>
        <vertAlign val="subscript"/>
        <sz val="11"/>
        <color theme="1"/>
        <rFont val="Calibri"/>
        <family val="2"/>
        <scheme val="minor"/>
      </rPr>
      <t>g</t>
    </r>
    <r>
      <rPr>
        <sz val="11"/>
        <color theme="1"/>
        <rFont val="Calibri"/>
        <family val="2"/>
        <scheme val="minor"/>
      </rPr>
      <t xml:space="preserve"> (cm/s):</t>
    </r>
  </si>
  <si>
    <r>
      <t xml:space="preserve">Percent Open Area </t>
    </r>
    <r>
      <rPr>
        <sz val="11"/>
        <color theme="1"/>
        <rFont val="Calibri"/>
        <family val="2"/>
        <scheme val="minor"/>
      </rPr>
      <t>³ 4%:</t>
    </r>
  </si>
  <si>
    <r>
      <t xml:space="preserve">Porosity </t>
    </r>
    <r>
      <rPr>
        <sz val="11"/>
        <color theme="1"/>
        <rFont val="Calibri"/>
        <family val="2"/>
        <scheme val="minor"/>
      </rPr>
      <t>³ 30%:</t>
    </r>
  </si>
  <si>
    <t>N/A</t>
  </si>
  <si>
    <t xml:space="preserve">Mass per unit Area ³ </t>
  </si>
  <si>
    <r>
      <rPr>
        <sz val="11"/>
        <color theme="1"/>
        <rFont val="Calibri"/>
        <family val="2"/>
        <scheme val="minor"/>
      </rPr>
      <t>400g/m</t>
    </r>
    <r>
      <rPr>
        <vertAlign val="superscript"/>
        <sz val="11"/>
        <color theme="1"/>
        <rFont val="Calibri"/>
        <family val="2"/>
        <scheme val="minor"/>
      </rPr>
      <t>2</t>
    </r>
    <r>
      <rPr>
        <sz val="11"/>
        <color theme="1"/>
        <rFont val="Calibri"/>
        <family val="2"/>
        <scheme val="minor"/>
      </rPr>
      <t xml:space="preserve"> (12 oz/yd</t>
    </r>
    <r>
      <rPr>
        <vertAlign val="superscript"/>
        <sz val="11"/>
        <color theme="1"/>
        <rFont val="Calibri"/>
        <family val="2"/>
        <scheme val="minor"/>
      </rPr>
      <t>2</t>
    </r>
    <r>
      <rPr>
        <sz val="11"/>
        <color theme="1"/>
        <rFont val="Calibri"/>
        <family val="2"/>
        <scheme val="minor"/>
      </rPr>
      <t>)</t>
    </r>
  </si>
  <si>
    <t>Sheet 5:  Rock Riprap for Streambank Protection</t>
  </si>
  <si>
    <t>TABLE D:  COMPUTED PARAMETERS:</t>
  </si>
  <si>
    <r>
      <t>Stability Coefficient, C</t>
    </r>
    <r>
      <rPr>
        <vertAlign val="subscript"/>
        <sz val="11"/>
        <rFont val="Calibri"/>
        <family val="2"/>
      </rPr>
      <t>s</t>
    </r>
    <r>
      <rPr>
        <sz val="11"/>
        <rFont val="Calibri"/>
        <family val="2"/>
      </rPr>
      <t xml:space="preserve"> (dimensionless)</t>
    </r>
  </si>
  <si>
    <r>
      <t>Velocity Distribution Coefficient, C</t>
    </r>
    <r>
      <rPr>
        <vertAlign val="subscript"/>
        <sz val="11"/>
        <rFont val="Calibri"/>
        <family val="2"/>
      </rPr>
      <t>v</t>
    </r>
    <r>
      <rPr>
        <sz val="11"/>
        <rFont val="Calibri"/>
        <family val="2"/>
      </rPr>
      <t xml:space="preserve"> (dimensionless)</t>
    </r>
  </si>
  <si>
    <r>
      <t>Characteristic Velocity for Design, V</t>
    </r>
    <r>
      <rPr>
        <vertAlign val="subscript"/>
        <sz val="11"/>
        <rFont val="Calibri"/>
        <family val="2"/>
      </rPr>
      <t>des</t>
    </r>
    <r>
      <rPr>
        <sz val="11"/>
        <rFont val="Calibri"/>
        <family val="2"/>
      </rPr>
      <t xml:space="preserve"> (ft/s)</t>
    </r>
  </si>
  <si>
    <r>
      <t>Side Slope Correction Factor, K</t>
    </r>
    <r>
      <rPr>
        <vertAlign val="subscript"/>
        <sz val="11"/>
        <rFont val="Calibri"/>
        <family val="2"/>
      </rPr>
      <t>1</t>
    </r>
    <r>
      <rPr>
        <sz val="11"/>
        <rFont val="Calibri"/>
        <family val="2"/>
      </rPr>
      <t xml:space="preserve"> (dimensionless)</t>
    </r>
  </si>
  <si>
    <t>TABLE E:  RIPRAP SIZE per FHWA HEC-23, 3rd Edition, Design Guideline 4:</t>
  </si>
  <si>
    <r>
      <t>COMPUTED STONE SIZE d</t>
    </r>
    <r>
      <rPr>
        <vertAlign val="subscript"/>
        <sz val="11"/>
        <rFont val="Calibri"/>
        <family val="2"/>
      </rPr>
      <t>30</t>
    </r>
    <r>
      <rPr>
        <sz val="11"/>
        <rFont val="Calibri"/>
        <family val="2"/>
      </rPr>
      <t>, INCHES:</t>
    </r>
  </si>
  <si>
    <r>
      <t>REQUIRED MEDIAN STONE SIZE d</t>
    </r>
    <r>
      <rPr>
        <vertAlign val="subscript"/>
        <sz val="11"/>
        <rFont val="Calibri"/>
        <family val="2"/>
      </rPr>
      <t>50</t>
    </r>
    <r>
      <rPr>
        <sz val="11"/>
        <rFont val="Calibri"/>
        <family val="2"/>
      </rPr>
      <t>, INCHES:</t>
    </r>
  </si>
  <si>
    <r>
      <t>NOTE:  For d</t>
    </r>
    <r>
      <rPr>
        <vertAlign val="subscript"/>
        <sz val="10"/>
        <rFont val="Calibri"/>
        <family val="2"/>
      </rPr>
      <t>50</t>
    </r>
    <r>
      <rPr>
        <sz val="10"/>
        <rFont val="Calibri"/>
        <family val="2"/>
      </rPr>
      <t xml:space="preserve">, specify next larger standard class </t>
    </r>
  </si>
  <si>
    <t xml:space="preserve">1.  The flow depth is defined as the local flow depth above the particle.  The flow depth at the toe of the slope is typically used. </t>
  </si>
  <si>
    <t>2.  The minimum recommended safety factor is 1.1.  Larger safety factors should be used where there is potential for ice or debris impact,</t>
  </si>
  <si>
    <t>freeze-thaw damage, or uncertainty in hydraulic conditions (particularly velocity).</t>
  </si>
  <si>
    <r>
      <t>3.  The thickness of the riprap blanket should be at least 1.5 times the d</t>
    </r>
    <r>
      <rPr>
        <vertAlign val="subscript"/>
        <sz val="11"/>
        <rFont val="Calibri"/>
        <family val="2"/>
      </rPr>
      <t>50</t>
    </r>
    <r>
      <rPr>
        <sz val="11"/>
        <rFont val="Calibri"/>
        <family val="2"/>
      </rPr>
      <t xml:space="preserve"> size shown above, or d</t>
    </r>
    <r>
      <rPr>
        <vertAlign val="subscript"/>
        <sz val="11"/>
        <rFont val="Calibri"/>
        <family val="2"/>
      </rPr>
      <t>100</t>
    </r>
    <r>
      <rPr>
        <sz val="11"/>
        <rFont val="Calibri"/>
        <family val="2"/>
      </rPr>
      <t xml:space="preserve"> whichever is larger.  The Federal</t>
    </r>
  </si>
  <si>
    <r>
      <t>Highway Administration's Hydraulic Engineering Circular No. 23 (HEC-23) recommends that d</t>
    </r>
    <r>
      <rPr>
        <vertAlign val="subscript"/>
        <sz val="11"/>
        <rFont val="Calibri"/>
        <family val="2"/>
      </rPr>
      <t>100</t>
    </r>
    <r>
      <rPr>
        <sz val="11"/>
        <rFont val="Calibri"/>
        <family val="2"/>
      </rPr>
      <t xml:space="preserve"> = 2 times d</t>
    </r>
    <r>
      <rPr>
        <vertAlign val="subscript"/>
        <sz val="11"/>
        <rFont val="Calibri"/>
        <family val="2"/>
      </rPr>
      <t>50</t>
    </r>
    <r>
      <rPr>
        <sz val="11"/>
        <rFont val="Calibri"/>
        <family val="2"/>
      </rPr>
      <t xml:space="preserve">. </t>
    </r>
  </si>
  <si>
    <t>4.  A limitation to this riprap sizing equation is that the longitudinal slope of the channel should be less than 2.0%.  For steeper channels,</t>
  </si>
  <si>
    <t>the riprap sizing approach for overtopping flows (HEC-23, Design Guideline 5) should be considered and compared to this procedure.</t>
  </si>
  <si>
    <r>
      <t>5.  The minimum required d</t>
    </r>
    <r>
      <rPr>
        <vertAlign val="subscript"/>
        <sz val="11"/>
        <rFont val="Calibri"/>
        <family val="2"/>
      </rPr>
      <t>50</t>
    </r>
    <r>
      <rPr>
        <sz val="11"/>
        <rFont val="Calibri"/>
        <family val="2"/>
      </rPr>
      <t xml:space="preserve"> (median) stone size is shown in cell H38.  It is recommended that for specification, the next larger standard</t>
    </r>
  </si>
  <si>
    <t>size rock be used in accordance with local materials and practice.</t>
  </si>
  <si>
    <r>
      <t>NATIONAL CONCRETE MASONRY ASSOCIATION</t>
    </r>
    <r>
      <rPr>
        <b/>
        <sz val="16"/>
        <color rgb="FF424242"/>
        <rFont val="Calibri"/>
        <family val="2"/>
      </rPr>
      <t xml:space="preserve">
</t>
    </r>
    <r>
      <rPr>
        <b/>
        <sz val="18"/>
        <color rgb="FF424242"/>
        <rFont val="Calibri"/>
        <family val="2"/>
      </rPr>
      <t>ARTICULATING CONCRETE BLOCK
DESIGN CALCULATIONS FOR OPEN 
CHANNEL AND OVERTOPPING FLOW</t>
    </r>
  </si>
  <si>
    <t>ASTM Standards</t>
  </si>
  <si>
    <t xml:space="preserve">
D7276-16 Standard Guide for Analysis and Interpretation of Test Data for Articulating Concrete Block (ACB) Revetment Systems in Open Channel Flow
D7277-16 Standard Test Method for Performance Testing of Articulating Concrete Block (ACB) Revetment Systems for Hydraulic Stability in Open Channel Flow</t>
  </si>
  <si>
    <t>Manuals and Guidance Documents</t>
  </si>
  <si>
    <t xml:space="preserve">
Julien, P.Y. 1995, Erosion and Sedimentation, Cambridge University Press, Cambridge, UK.
Lagasse, et al., 2007, "Countermeasures to Protect Bridge Piers from Scour," NCHRP Report 593, Transportation Research Board, National Academies of Science, Washington, D.C.
Lagasse, et al., 2009, "Bridge Scour and Stream Instability Countermeasures, Volume 2" Hydraulic Engineering Circular No. 23, 3rd Edition, Federal Highway Administration Publication Number FHWA-NHI-09-112.
National Concrete Masonry Association, 2020.  "Design Manual for Articulating Concrete Block Revetment Systems," NCMA Publication Number TR220B, National Concrete Masonry Association, Herndon, VA.
U.S. Army Corps of Engineers, 1991, "Hydraulic Design of Flood Control Channels," Engineering Manual EM-1110-2-1601, Department of the Army, Washington D.C.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</si>
</sst>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00"/>
    <numFmt numFmtId="166" formatCode="0.0000"/>
    <numFmt numFmtId="167" formatCode="0.00000"/>
    <numFmt numFmtId="168" formatCode="#,##0.000"/>
  </numFmts>
  <fonts count="70">
    <font>
      <sz val="11"/>
      <color theme="1"/>
      <name val="Calibri"/>
      <family val="2"/>
      <scheme val="minor"/>
    </font>
    <font>
      <b/>
      <sz val="11"/>
      <color theme="1"/>
      <name val="Calibri"/>
      <family val="2"/>
      <scheme val="minor"/>
    </font>
    <font>
      <b/>
      <sz val="20"/>
      <name val="Calibri"/>
      <family val="2"/>
    </font>
    <font>
      <sz val="11"/>
      <name val="Symbol"/>
      <family val="1"/>
      <charset val="2"/>
    </font>
    <font>
      <sz val="10"/>
      <name val="Calibri"/>
      <family val="2"/>
    </font>
    <font>
      <sz val="11"/>
      <name val="Calibri"/>
      <family val="2"/>
    </font>
    <font>
      <b/>
      <sz val="22"/>
      <color theme="1" tint="0.34998626667073579"/>
      <name val="Calibri"/>
      <family val="2"/>
      <scheme val="minor"/>
    </font>
    <font>
      <b/>
      <sz val="16"/>
      <color indexed="63"/>
      <name val="Calibri"/>
      <family val="2"/>
      <scheme val="minor"/>
    </font>
    <font>
      <b/>
      <sz val="18"/>
      <color indexed="63"/>
      <name val="Calibri"/>
      <family val="2"/>
      <scheme val="minor"/>
    </font>
    <font>
      <b/>
      <sz val="20"/>
      <color indexed="18"/>
      <name val="Calibri"/>
      <family val="2"/>
      <scheme val="minor"/>
    </font>
    <font>
      <b/>
      <sz val="12"/>
      <name val="Calibri"/>
      <family val="2"/>
      <scheme val="minor"/>
    </font>
    <font>
      <b/>
      <sz val="12"/>
      <name val="Calibri"/>
      <family val="2"/>
    </font>
    <font>
      <sz val="10"/>
      <name val="Calibri"/>
      <family val="2"/>
      <scheme val="minor"/>
    </font>
    <font>
      <b/>
      <sz val="11"/>
      <name val="Calibri"/>
      <family val="2"/>
      <scheme val="minor"/>
    </font>
    <font>
      <sz val="11"/>
      <name val="Calibri"/>
      <family val="2"/>
      <scheme val="minor"/>
    </font>
    <font>
      <u/>
      <sz val="10"/>
      <name val="Arial"/>
      <family val="2"/>
    </font>
    <font>
      <u/>
      <sz val="11"/>
      <name val="Calibri"/>
      <family val="2"/>
      <scheme val="minor"/>
    </font>
    <font>
      <b/>
      <sz val="11"/>
      <name val="Calibri"/>
      <family val="2"/>
    </font>
    <font>
      <b/>
      <sz val="22"/>
      <color rgb="FF595959"/>
      <name val="Calibri"/>
      <family val="2"/>
    </font>
    <font>
      <b/>
      <sz val="16"/>
      <color rgb="FF424242"/>
      <name val="Calibri"/>
      <family val="2"/>
    </font>
    <font>
      <b/>
      <sz val="18"/>
      <color rgb="FF424242"/>
      <name val="Calibri"/>
      <family val="2"/>
    </font>
    <font>
      <b/>
      <sz val="20"/>
      <color rgb="FF000080"/>
      <name val="Calibri"/>
      <family val="2"/>
    </font>
    <font>
      <b/>
      <sz val="22"/>
      <color rgb="FF000080"/>
      <name val="Calibri"/>
      <family val="2"/>
    </font>
    <font>
      <b/>
      <sz val="20"/>
      <name val="Calibri"/>
      <family val="2"/>
      <scheme val="minor"/>
    </font>
    <font>
      <vertAlign val="subscript"/>
      <sz val="11"/>
      <name val="Calibri"/>
      <family val="2"/>
      <scheme val="minor"/>
    </font>
    <font>
      <vertAlign val="superscript"/>
      <sz val="11"/>
      <name val="Calibri"/>
      <family val="2"/>
      <scheme val="minor"/>
    </font>
    <font>
      <b/>
      <vertAlign val="subscript"/>
      <sz val="11"/>
      <name val="Calibri"/>
      <family val="2"/>
      <scheme val="minor"/>
    </font>
    <font>
      <b/>
      <sz val="22"/>
      <color indexed="18"/>
      <name val="Calibri"/>
      <family val="2"/>
      <scheme val="minor"/>
    </font>
    <font>
      <b/>
      <sz val="18"/>
      <color theme="0"/>
      <name val="Calibri"/>
      <family val="2"/>
      <scheme val="minor"/>
    </font>
    <font>
      <vertAlign val="superscript"/>
      <sz val="10"/>
      <name val="Calibri"/>
      <family val="2"/>
      <scheme val="minor"/>
    </font>
    <font>
      <sz val="16"/>
      <name val="French Script MT"/>
      <family val="4"/>
    </font>
    <font>
      <vertAlign val="subscript"/>
      <sz val="11"/>
      <name val="Calibri"/>
      <family val="2"/>
    </font>
    <font>
      <vertAlign val="superscript"/>
      <sz val="11"/>
      <name val="Calibri"/>
      <family val="2"/>
    </font>
    <font>
      <vertAlign val="superscript"/>
      <sz val="10"/>
      <name val="Calibri"/>
      <family val="2"/>
    </font>
    <font>
      <vertAlign val="subscript"/>
      <sz val="10"/>
      <name val="Calibri"/>
      <family val="2"/>
    </font>
    <font>
      <b/>
      <sz val="18"/>
      <color rgb="FFFFFFFF"/>
      <name val="Calibri"/>
      <family val="2"/>
    </font>
    <font>
      <sz val="10"/>
      <color theme="1"/>
      <name val="Calibri"/>
      <family val="2"/>
      <scheme val="minor"/>
    </font>
    <font>
      <i/>
      <sz val="11"/>
      <name val="Calibri"/>
      <family val="2"/>
      <scheme val="minor"/>
    </font>
    <font>
      <b/>
      <i/>
      <sz val="11"/>
      <name val="Calibri"/>
      <family val="2"/>
      <scheme val="minor"/>
    </font>
    <font>
      <sz val="10"/>
      <name val="Symbol"/>
      <family val="1"/>
      <charset val="2"/>
    </font>
    <font>
      <vertAlign val="subscript"/>
      <sz val="10"/>
      <name val="Calibri"/>
      <family val="2"/>
      <scheme val="minor"/>
    </font>
    <font>
      <sz val="10"/>
      <color theme="1"/>
      <name val="Calibri"/>
      <family val="2"/>
    </font>
    <font>
      <vertAlign val="subscript"/>
      <sz val="10"/>
      <color theme="1"/>
      <name val="Calibri"/>
      <family val="2"/>
    </font>
    <font>
      <b/>
      <sz val="10"/>
      <name val="Calibri"/>
      <family val="2"/>
      <scheme val="minor"/>
    </font>
    <font>
      <sz val="9"/>
      <color indexed="81"/>
      <name val="Tahoma"/>
      <family val="2"/>
    </font>
    <font>
      <b/>
      <sz val="9"/>
      <color indexed="81"/>
      <name val="Tahoma"/>
      <family val="2"/>
    </font>
    <font>
      <sz val="11"/>
      <color theme="1" tint="0.34998626667073579"/>
      <name val="Calibri"/>
      <family val="2"/>
      <scheme val="minor"/>
    </font>
    <font>
      <b/>
      <i/>
      <sz val="11"/>
      <color theme="1" tint="0.34998626667073579"/>
      <name val="Calibri"/>
      <family val="2"/>
      <scheme val="minor"/>
    </font>
    <font>
      <b/>
      <i/>
      <sz val="11"/>
      <color rgb="FF595959"/>
      <name val="Calibri"/>
      <family val="2"/>
    </font>
    <font>
      <b/>
      <i/>
      <sz val="10"/>
      <color theme="1"/>
      <name val="Calibri"/>
      <family val="2"/>
      <scheme val="minor"/>
    </font>
    <font>
      <b/>
      <sz val="10"/>
      <color theme="1"/>
      <name val="Calibri"/>
      <family val="2"/>
      <scheme val="minor"/>
    </font>
    <font>
      <vertAlign val="subscript"/>
      <sz val="11"/>
      <color theme="1"/>
      <name val="Calibri"/>
      <family val="2"/>
      <scheme val="minor"/>
    </font>
    <font>
      <b/>
      <i/>
      <sz val="9"/>
      <color theme="1"/>
      <name val="Calibri"/>
      <family val="2"/>
      <scheme val="minor"/>
    </font>
    <font>
      <sz val="8"/>
      <color theme="1"/>
      <name val="Calibri"/>
      <family val="2"/>
      <scheme val="minor"/>
    </font>
    <font>
      <b/>
      <i/>
      <sz val="8"/>
      <color theme="1"/>
      <name val="Calibri"/>
      <family val="2"/>
      <scheme val="minor"/>
    </font>
    <font>
      <sz val="9"/>
      <color theme="1"/>
      <name val="Calibri"/>
      <family val="2"/>
      <scheme val="minor"/>
    </font>
    <font>
      <b/>
      <i/>
      <sz val="11"/>
      <color theme="1"/>
      <name val="Calibri"/>
      <family val="2"/>
      <scheme val="minor"/>
    </font>
    <font>
      <u/>
      <sz val="11"/>
      <color theme="1"/>
      <name val="Calibri"/>
      <family val="2"/>
      <scheme val="minor"/>
    </font>
    <font>
      <sz val="14"/>
      <color theme="1"/>
      <name val="Calibri"/>
      <family val="2"/>
      <scheme val="minor"/>
    </font>
    <font>
      <b/>
      <sz val="10"/>
      <color theme="1"/>
      <name val="Roboto Light"/>
    </font>
    <font>
      <sz val="10"/>
      <color theme="1"/>
      <name val="Roboto Light"/>
    </font>
    <font>
      <vertAlign val="superscript"/>
      <sz val="10"/>
      <color theme="1"/>
      <name val="Roboto Light"/>
    </font>
    <font>
      <b/>
      <sz val="9.5"/>
      <color theme="1"/>
      <name val="Times New Roman"/>
      <family val="1"/>
    </font>
    <font>
      <b/>
      <vertAlign val="superscript"/>
      <sz val="11"/>
      <color theme="1"/>
      <name val="Calibri"/>
      <family val="2"/>
      <scheme val="minor"/>
    </font>
    <font>
      <sz val="9.5"/>
      <color theme="1"/>
      <name val="Times New Roman"/>
      <family val="1"/>
    </font>
    <font>
      <b/>
      <vertAlign val="superscript"/>
      <sz val="9.5"/>
      <color theme="1"/>
      <name val="Times New Roman"/>
      <family val="1"/>
    </font>
    <font>
      <vertAlign val="superscript"/>
      <sz val="11"/>
      <color theme="1"/>
      <name val="Calibri"/>
      <family val="2"/>
      <scheme val="minor"/>
    </font>
    <font>
      <b/>
      <sz val="12"/>
      <color theme="1"/>
      <name val="Calibri"/>
      <family val="2"/>
      <scheme val="minor"/>
    </font>
    <font>
      <i/>
      <sz val="9"/>
      <color theme="1"/>
      <name val="Calibri"/>
      <family val="2"/>
      <scheme val="minor"/>
    </font>
    <font>
      <sz val="14"/>
      <color rgb="FF767171"/>
      <name val="Calibri"/>
      <family val="2"/>
      <scheme val="minor"/>
    </font>
  </fonts>
  <fills count="13">
    <fill>
      <patternFill patternType="none"/>
    </fill>
    <fill>
      <patternFill patternType="gray125"/>
    </fill>
    <fill>
      <patternFill patternType="solid">
        <fgColor indexed="42"/>
        <bgColor indexed="64"/>
      </patternFill>
    </fill>
    <fill>
      <patternFill patternType="solid">
        <fgColor theme="0"/>
        <bgColor indexed="64"/>
      </patternFill>
    </fill>
    <fill>
      <patternFill patternType="solid">
        <fgColor theme="0" tint="-0.34998626667073579"/>
        <bgColor indexed="64"/>
      </patternFill>
    </fill>
    <fill>
      <patternFill patternType="solid">
        <fgColor rgb="FFE3E3E3"/>
        <bgColor indexed="64"/>
      </patternFill>
    </fill>
    <fill>
      <patternFill patternType="solid">
        <fgColor rgb="FFE3E3E3"/>
        <bgColor rgb="FF000000"/>
      </patternFill>
    </fill>
    <fill>
      <patternFill patternType="solid">
        <fgColor rgb="FFA6A6A6"/>
        <bgColor rgb="FF000000"/>
      </patternFill>
    </fill>
    <fill>
      <patternFill patternType="solid">
        <fgColor rgb="FFCCFFCC"/>
        <bgColor rgb="FF000000"/>
      </patternFill>
    </fill>
    <fill>
      <patternFill patternType="solid">
        <fgColor theme="0" tint="-0.14999847407452621"/>
        <bgColor rgb="FF000000"/>
      </patternFill>
    </fill>
    <fill>
      <patternFill patternType="solid">
        <fgColor theme="0" tint="-4.9989318521683403E-2"/>
        <bgColor indexed="64"/>
      </patternFill>
    </fill>
    <fill>
      <patternFill patternType="solid">
        <fgColor rgb="FFCCFFCC"/>
        <bgColor indexed="64"/>
      </patternFill>
    </fill>
    <fill>
      <patternFill patternType="solid">
        <fgColor rgb="FFFFFF00"/>
        <bgColor indexed="64"/>
      </patternFill>
    </fill>
  </fills>
  <borders count="7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right style="double">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double">
        <color indexed="64"/>
      </right>
      <top/>
      <bottom style="thin">
        <color indexed="64"/>
      </bottom>
      <diagonal/>
    </border>
    <border>
      <left style="double">
        <color indexed="64"/>
      </left>
      <right/>
      <top/>
      <bottom style="thin">
        <color indexed="64"/>
      </bottom>
      <diagonal/>
    </border>
    <border>
      <left/>
      <right style="double">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double">
        <color indexed="64"/>
      </left>
      <right style="thin">
        <color indexed="64"/>
      </right>
      <top/>
      <bottom/>
      <diagonal/>
    </border>
    <border>
      <left style="thin">
        <color indexed="64"/>
      </left>
      <right style="thin">
        <color indexed="64"/>
      </right>
      <top/>
      <bottom/>
      <diagonal/>
    </border>
  </borders>
  <cellStyleXfs count="1">
    <xf numFmtId="0" fontId="0" fillId="0" borderId="0"/>
  </cellStyleXfs>
  <cellXfs count="867">
    <xf numFmtId="0" fontId="0" fillId="0" borderId="0" xfId="0"/>
    <xf numFmtId="0" fontId="12" fillId="0" borderId="0" xfId="0" applyFont="1" applyAlignment="1">
      <alignment wrapText="1"/>
    </xf>
    <xf numFmtId="0" fontId="12" fillId="0" borderId="0" xfId="0" applyFont="1"/>
    <xf numFmtId="0" fontId="12" fillId="0" borderId="0" xfId="0" applyFont="1" applyAlignment="1">
      <alignment horizontal="center"/>
    </xf>
    <xf numFmtId="0" fontId="14" fillId="0" borderId="4" xfId="0" applyFont="1" applyBorder="1" applyAlignment="1">
      <alignment horizontal="center" wrapText="1"/>
    </xf>
    <xf numFmtId="0" fontId="14" fillId="0" borderId="0" xfId="0" applyFont="1" applyAlignment="1">
      <alignment horizontal="center" wrapText="1"/>
    </xf>
    <xf numFmtId="164" fontId="14" fillId="0" borderId="0" xfId="0" applyNumberFormat="1" applyFont="1" applyAlignment="1">
      <alignment horizontal="center" wrapText="1"/>
    </xf>
    <xf numFmtId="165" fontId="14" fillId="0" borderId="0" xfId="0" applyNumberFormat="1" applyFont="1" applyAlignment="1">
      <alignment horizontal="center" wrapText="1"/>
    </xf>
    <xf numFmtId="1" fontId="14" fillId="0" borderId="5" xfId="0" applyNumberFormat="1" applyFont="1" applyBorder="1" applyAlignment="1">
      <alignment horizontal="center" wrapText="1"/>
    </xf>
    <xf numFmtId="0" fontId="14" fillId="0" borderId="4" xfId="0" applyFont="1" applyBorder="1" applyAlignment="1">
      <alignment horizontal="left" vertical="center" wrapText="1"/>
    </xf>
    <xf numFmtId="0" fontId="14" fillId="0" borderId="0" xfId="0" applyFont="1" applyAlignment="1">
      <alignment horizontal="left" vertical="center" wrapText="1"/>
    </xf>
    <xf numFmtId="0" fontId="14" fillId="0" borderId="5" xfId="0" applyFont="1" applyBorder="1" applyAlignment="1">
      <alignment horizontal="left" vertical="center" wrapText="1"/>
    </xf>
    <xf numFmtId="0" fontId="14" fillId="0" borderId="4" xfId="0" applyFont="1" applyBorder="1" applyAlignment="1">
      <alignment vertical="center" wrapText="1"/>
    </xf>
    <xf numFmtId="0" fontId="14" fillId="0" borderId="0" xfId="0" applyFont="1" applyAlignment="1">
      <alignment vertical="center" wrapText="1"/>
    </xf>
    <xf numFmtId="0" fontId="14" fillId="0" borderId="5" xfId="0" applyFont="1" applyBorder="1" applyAlignment="1">
      <alignment vertical="center" wrapText="1"/>
    </xf>
    <xf numFmtId="0" fontId="14" fillId="0" borderId="4" xfId="0" applyFont="1" applyBorder="1"/>
    <xf numFmtId="0" fontId="14" fillId="0" borderId="0" xfId="0" applyFont="1"/>
    <xf numFmtId="0" fontId="14" fillId="0" borderId="5" xfId="0" applyFont="1" applyBorder="1"/>
    <xf numFmtId="0" fontId="14" fillId="0" borderId="6" xfId="0" applyFont="1" applyBorder="1"/>
    <xf numFmtId="0" fontId="14" fillId="0" borderId="7" xfId="0" applyFont="1" applyBorder="1"/>
    <xf numFmtId="0" fontId="14" fillId="0" borderId="8" xfId="0" applyFont="1" applyBorder="1"/>
    <xf numFmtId="0" fontId="15" fillId="0" borderId="0" xfId="0" applyFont="1"/>
    <xf numFmtId="0" fontId="0" fillId="0" borderId="0" xfId="0" applyAlignment="1">
      <alignment horizontal="left" vertical="top"/>
    </xf>
    <xf numFmtId="2" fontId="5" fillId="0" borderId="29" xfId="0" applyNumberFormat="1" applyFont="1" applyBorder="1" applyAlignment="1">
      <alignment horizontal="center" vertical="center" wrapText="1"/>
    </xf>
    <xf numFmtId="2" fontId="5" fillId="0" borderId="0" xfId="0" applyNumberFormat="1" applyFont="1" applyAlignment="1">
      <alignment horizontal="left" vertical="center" wrapText="1"/>
    </xf>
    <xf numFmtId="2" fontId="5" fillId="0" borderId="0" xfId="0" applyNumberFormat="1" applyFont="1" applyAlignment="1">
      <alignment horizontal="center" vertical="center" wrapText="1"/>
    </xf>
    <xf numFmtId="0" fontId="5" fillId="0" borderId="27" xfId="0" applyFont="1" applyBorder="1" applyAlignment="1">
      <alignment vertical="center" wrapText="1"/>
    </xf>
    <xf numFmtId="168" fontId="5" fillId="0" borderId="13" xfId="0" applyNumberFormat="1" applyFont="1" applyBorder="1" applyAlignment="1">
      <alignment horizontal="center" vertical="center"/>
    </xf>
    <xf numFmtId="4" fontId="5" fillId="0" borderId="13" xfId="0" applyNumberFormat="1" applyFont="1" applyBorder="1" applyAlignment="1">
      <alignment horizontal="center" vertical="center"/>
    </xf>
    <xf numFmtId="4" fontId="5" fillId="0" borderId="28" xfId="0" applyNumberFormat="1" applyFont="1" applyBorder="1" applyAlignment="1">
      <alignment horizontal="center" vertical="center"/>
    </xf>
    <xf numFmtId="164" fontId="5" fillId="0" borderId="13" xfId="0" applyNumberFormat="1" applyFont="1" applyBorder="1" applyAlignment="1">
      <alignment horizontal="center" vertical="center"/>
    </xf>
    <xf numFmtId="164" fontId="5" fillId="0" borderId="28" xfId="0" applyNumberFormat="1" applyFont="1" applyBorder="1" applyAlignment="1">
      <alignment horizontal="center" vertical="center" wrapText="1"/>
    </xf>
    <xf numFmtId="2" fontId="5" fillId="0" borderId="25" xfId="0" applyNumberFormat="1" applyFont="1" applyBorder="1" applyAlignment="1">
      <alignment horizontal="center" vertical="center" wrapText="1"/>
    </xf>
    <xf numFmtId="2" fontId="5" fillId="0" borderId="32" xfId="0" applyNumberFormat="1" applyFont="1" applyBorder="1" applyAlignment="1">
      <alignment horizontal="left" vertical="center" wrapText="1"/>
    </xf>
    <xf numFmtId="0" fontId="47" fillId="0" borderId="35" xfId="0" applyFont="1" applyBorder="1"/>
    <xf numFmtId="0" fontId="6" fillId="0" borderId="35" xfId="0" applyFont="1" applyBorder="1" applyAlignment="1">
      <alignment vertical="center" wrapText="1"/>
    </xf>
    <xf numFmtId="0" fontId="0" fillId="0" borderId="35" xfId="0" applyBorder="1" applyAlignment="1">
      <alignment wrapText="1"/>
    </xf>
    <xf numFmtId="0" fontId="46" fillId="0" borderId="35" xfId="0" applyFont="1" applyBorder="1" applyAlignment="1">
      <alignment vertical="center" wrapText="1"/>
    </xf>
    <xf numFmtId="0" fontId="27" fillId="3" borderId="6" xfId="0" applyFont="1" applyFill="1" applyBorder="1" applyAlignment="1">
      <alignment vertical="center" wrapText="1"/>
    </xf>
    <xf numFmtId="0" fontId="27" fillId="3" borderId="7" xfId="0" applyFont="1" applyFill="1" applyBorder="1" applyAlignment="1">
      <alignment vertical="center" wrapText="1"/>
    </xf>
    <xf numFmtId="0" fontId="27" fillId="3" borderId="8" xfId="0" applyFont="1" applyFill="1" applyBorder="1" applyAlignment="1">
      <alignment vertical="center" wrapText="1"/>
    </xf>
    <xf numFmtId="0" fontId="0" fillId="0" borderId="0" xfId="0" applyAlignment="1">
      <alignment wrapText="1"/>
    </xf>
    <xf numFmtId="0" fontId="47" fillId="0" borderId="32" xfId="0" applyFont="1" applyBorder="1"/>
    <xf numFmtId="0" fontId="6" fillId="0" borderId="32" xfId="0" applyFont="1" applyBorder="1" applyAlignment="1">
      <alignment horizontal="center" vertical="center" wrapText="1"/>
    </xf>
    <xf numFmtId="0" fontId="0" fillId="0" borderId="32" xfId="0" applyBorder="1" applyAlignment="1">
      <alignment wrapText="1"/>
    </xf>
    <xf numFmtId="0" fontId="46" fillId="0" borderId="32" xfId="0" applyFont="1" applyBorder="1" applyAlignment="1">
      <alignment vertical="center" wrapText="1"/>
    </xf>
    <xf numFmtId="0" fontId="27" fillId="3" borderId="4" xfId="0" applyFont="1" applyFill="1" applyBorder="1" applyAlignment="1">
      <alignment vertical="center" wrapText="1"/>
    </xf>
    <xf numFmtId="0" fontId="27" fillId="3" borderId="0" xfId="0" applyFont="1" applyFill="1" applyAlignment="1">
      <alignment vertical="center" wrapText="1"/>
    </xf>
    <xf numFmtId="0" fontId="27" fillId="3" borderId="5" xfId="0" applyFont="1" applyFill="1" applyBorder="1" applyAlignment="1">
      <alignment vertical="center" wrapText="1"/>
    </xf>
    <xf numFmtId="0" fontId="47" fillId="0" borderId="32" xfId="0" applyFont="1" applyBorder="1" applyAlignment="1">
      <alignment wrapText="1"/>
    </xf>
    <xf numFmtId="0" fontId="46" fillId="0" borderId="10" xfId="0" applyFont="1" applyBorder="1" applyAlignment="1">
      <alignment vertical="center" wrapText="1"/>
    </xf>
    <xf numFmtId="0" fontId="0" fillId="0" borderId="17" xfId="0" applyBorder="1" applyAlignment="1">
      <alignment wrapText="1"/>
    </xf>
    <xf numFmtId="0" fontId="0" fillId="0" borderId="18" xfId="0" applyBorder="1" applyAlignment="1">
      <alignment wrapText="1"/>
    </xf>
    <xf numFmtId="0" fontId="47" fillId="0" borderId="18" xfId="0" applyFont="1" applyBorder="1"/>
    <xf numFmtId="0" fontId="6" fillId="0" borderId="18" xfId="0" applyFont="1" applyBorder="1" applyAlignment="1">
      <alignment horizontal="center" vertical="center" wrapText="1"/>
    </xf>
    <xf numFmtId="0" fontId="46" fillId="0" borderId="18" xfId="0" applyFont="1" applyBorder="1" applyAlignment="1">
      <alignment vertical="center" wrapText="1"/>
    </xf>
    <xf numFmtId="0" fontId="27" fillId="3" borderId="17" xfId="0" applyFont="1" applyFill="1" applyBorder="1" applyAlignment="1">
      <alignment vertical="center" wrapText="1"/>
    </xf>
    <xf numFmtId="0" fontId="27" fillId="3" borderId="18" xfId="0" applyFont="1" applyFill="1" applyBorder="1" applyAlignment="1">
      <alignment vertical="center" wrapText="1"/>
    </xf>
    <xf numFmtId="0" fontId="27" fillId="3" borderId="19" xfId="0" applyFont="1" applyFill="1" applyBorder="1" applyAlignment="1">
      <alignment vertical="center" wrapText="1"/>
    </xf>
    <xf numFmtId="0" fontId="14" fillId="0" borderId="4" xfId="0" applyFont="1" applyBorder="1" applyAlignment="1">
      <alignment horizontal="center" vertical="center" wrapText="1"/>
    </xf>
    <xf numFmtId="0" fontId="14" fillId="0" borderId="0" xfId="0" applyFont="1" applyAlignment="1">
      <alignment horizontal="center" vertical="center" wrapText="1"/>
    </xf>
    <xf numFmtId="0" fontId="14" fillId="0" borderId="5" xfId="0" applyFont="1" applyBorder="1" applyAlignment="1">
      <alignment horizontal="center" vertical="center" wrapText="1"/>
    </xf>
    <xf numFmtId="0" fontId="0" fillId="0" borderId="0" xfId="0" applyAlignment="1">
      <alignment horizontal="right"/>
    </xf>
    <xf numFmtId="0" fontId="14" fillId="0" borderId="13" xfId="0" applyFont="1" applyBorder="1" applyAlignment="1">
      <alignment horizontal="center" vertical="center" wrapText="1"/>
    </xf>
    <xf numFmtId="0" fontId="12" fillId="0" borderId="13" xfId="0" applyFont="1" applyBorder="1" applyAlignment="1">
      <alignment horizontal="center" vertical="center" wrapText="1"/>
    </xf>
    <xf numFmtId="0" fontId="0" fillId="0" borderId="0" xfId="0" applyAlignment="1">
      <alignment horizontal="center"/>
    </xf>
    <xf numFmtId="0" fontId="0" fillId="0" borderId="5" xfId="0" applyBorder="1" applyAlignment="1">
      <alignment horizontal="center"/>
    </xf>
    <xf numFmtId="165" fontId="14" fillId="0" borderId="13" xfId="0" applyNumberFormat="1" applyFont="1" applyBorder="1" applyAlignment="1">
      <alignment horizontal="center" vertical="center" wrapText="1"/>
    </xf>
    <xf numFmtId="0" fontId="0" fillId="0" borderId="5" xfId="0" applyBorder="1"/>
    <xf numFmtId="165" fontId="14" fillId="0" borderId="28" xfId="0" applyNumberFormat="1" applyFont="1" applyBorder="1" applyAlignment="1">
      <alignment horizontal="center" vertical="center" wrapText="1"/>
    </xf>
    <xf numFmtId="164" fontId="14" fillId="0" borderId="0" xfId="0" applyNumberFormat="1" applyFont="1" applyAlignment="1">
      <alignment horizontal="center" vertical="center" wrapText="1"/>
    </xf>
    <xf numFmtId="165" fontId="14" fillId="0" borderId="0" xfId="0" applyNumberFormat="1" applyFont="1" applyAlignment="1">
      <alignment horizontal="center" vertical="center" wrapText="1"/>
    </xf>
    <xf numFmtId="1" fontId="14" fillId="0" borderId="5" xfId="0" applyNumberFormat="1" applyFont="1" applyBorder="1" applyAlignment="1">
      <alignment horizontal="center" vertical="center" wrapText="1"/>
    </xf>
    <xf numFmtId="166" fontId="14" fillId="0" borderId="0" xfId="0" applyNumberFormat="1" applyFont="1" applyAlignment="1">
      <alignment horizontal="center" vertical="center" wrapText="1"/>
    </xf>
    <xf numFmtId="0" fontId="14" fillId="3" borderId="32" xfId="0" applyFont="1" applyFill="1" applyBorder="1" applyAlignment="1">
      <alignment horizontal="center" vertical="center" wrapText="1"/>
    </xf>
    <xf numFmtId="0" fontId="0" fillId="3" borderId="32" xfId="0" applyFill="1" applyBorder="1"/>
    <xf numFmtId="0" fontId="0" fillId="3" borderId="33" xfId="0" applyFill="1" applyBorder="1"/>
    <xf numFmtId="0" fontId="0" fillId="3" borderId="0" xfId="0" applyFill="1"/>
    <xf numFmtId="0" fontId="0" fillId="0" borderId="0" xfId="0" applyAlignment="1">
      <alignment vertical="top" wrapText="1"/>
    </xf>
    <xf numFmtId="0" fontId="43" fillId="0" borderId="13" xfId="0" applyFont="1" applyBorder="1" applyAlignment="1">
      <alignment horizontal="center" vertical="center" wrapText="1"/>
    </xf>
    <xf numFmtId="165" fontId="14" fillId="0" borderId="13" xfId="0" applyNumberFormat="1" applyFont="1" applyBorder="1" applyAlignment="1">
      <alignment horizontal="center" wrapText="1"/>
    </xf>
    <xf numFmtId="2" fontId="14" fillId="0" borderId="13" xfId="0" applyNumberFormat="1" applyFont="1" applyBorder="1" applyAlignment="1">
      <alignment horizontal="center" wrapText="1"/>
    </xf>
    <xf numFmtId="2" fontId="14" fillId="0" borderId="13" xfId="0" applyNumberFormat="1" applyFont="1" applyBorder="1" applyAlignment="1">
      <alignment horizontal="center"/>
    </xf>
    <xf numFmtId="2" fontId="13" fillId="0" borderId="13" xfId="0" applyNumberFormat="1" applyFont="1" applyBorder="1" applyAlignment="1">
      <alignment horizontal="center"/>
    </xf>
    <xf numFmtId="165" fontId="0" fillId="0" borderId="0" xfId="0" applyNumberFormat="1"/>
    <xf numFmtId="0" fontId="14" fillId="0" borderId="4" xfId="0" applyFont="1" applyBorder="1" applyAlignment="1">
      <alignment horizontal="left"/>
    </xf>
    <xf numFmtId="0" fontId="14" fillId="0" borderId="0" xfId="0" applyFont="1" applyAlignment="1">
      <alignment horizontal="left"/>
    </xf>
    <xf numFmtId="2" fontId="14" fillId="0" borderId="0" xfId="0" applyNumberFormat="1" applyFont="1" applyAlignment="1">
      <alignment horizontal="center" wrapText="1"/>
    </xf>
    <xf numFmtId="2" fontId="14" fillId="0" borderId="0" xfId="0" applyNumberFormat="1" applyFont="1" applyAlignment="1">
      <alignment horizontal="center"/>
    </xf>
    <xf numFmtId="0" fontId="12" fillId="0" borderId="25" xfId="0" applyFont="1" applyBorder="1" applyAlignment="1">
      <alignment horizontal="center" vertical="center" wrapText="1"/>
    </xf>
    <xf numFmtId="0" fontId="10" fillId="5" borderId="0" xfId="0" applyFont="1" applyFill="1" applyAlignment="1">
      <alignment vertical="center"/>
    </xf>
    <xf numFmtId="2" fontId="14" fillId="0" borderId="25" xfId="0" applyNumberFormat="1" applyFont="1" applyBorder="1" applyAlignment="1">
      <alignment horizontal="center"/>
    </xf>
    <xf numFmtId="2" fontId="14" fillId="0" borderId="69" xfId="0" applyNumberFormat="1" applyFont="1" applyBorder="1" applyAlignment="1">
      <alignment horizontal="center"/>
    </xf>
    <xf numFmtId="0" fontId="14" fillId="0" borderId="0" xfId="0" applyFont="1" applyAlignment="1">
      <alignment horizontal="left" vertical="center"/>
    </xf>
    <xf numFmtId="0" fontId="13" fillId="0" borderId="10" xfId="0" applyFont="1" applyBorder="1" applyAlignment="1">
      <alignment horizontal="left" vertical="center"/>
    </xf>
    <xf numFmtId="0" fontId="14" fillId="0" borderId="10" xfId="0" applyFont="1" applyBorder="1" applyAlignment="1">
      <alignment horizontal="center" vertical="center" wrapText="1"/>
    </xf>
    <xf numFmtId="2" fontId="14" fillId="0" borderId="10" xfId="0" applyNumberFormat="1" applyFont="1" applyBorder="1" applyAlignment="1">
      <alignment horizontal="center"/>
    </xf>
    <xf numFmtId="0" fontId="14" fillId="0" borderId="17"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19" xfId="0" applyFont="1" applyBorder="1" applyAlignment="1">
      <alignment horizontal="center" vertical="center" wrapText="1"/>
    </xf>
    <xf numFmtId="0" fontId="6" fillId="0" borderId="35" xfId="0" applyFont="1" applyBorder="1" applyAlignment="1">
      <alignment vertical="center"/>
    </xf>
    <xf numFmtId="0" fontId="6" fillId="0" borderId="36" xfId="0" applyFont="1" applyBorder="1" applyAlignment="1">
      <alignment vertical="center"/>
    </xf>
    <xf numFmtId="0" fontId="6" fillId="0" borderId="0" xfId="0" applyFont="1" applyAlignment="1">
      <alignment vertical="center" wrapText="1"/>
    </xf>
    <xf numFmtId="0" fontId="27" fillId="0" borderId="0" xfId="0" applyFont="1" applyAlignment="1">
      <alignment vertical="center" wrapText="1"/>
    </xf>
    <xf numFmtId="0" fontId="6" fillId="0" borderId="32" xfId="0" applyFont="1" applyBorder="1" applyAlignment="1">
      <alignment horizontal="center" vertical="center"/>
    </xf>
    <xf numFmtId="0" fontId="6" fillId="0" borderId="27" xfId="0" applyFont="1" applyBorder="1" applyAlignment="1">
      <alignment horizontal="center" vertical="center"/>
    </xf>
    <xf numFmtId="0" fontId="0" fillId="3" borderId="4" xfId="0" applyFill="1" applyBorder="1" applyAlignment="1">
      <alignment horizontal="center" wrapText="1"/>
    </xf>
    <xf numFmtId="0" fontId="0" fillId="3" borderId="0" xfId="0" applyFill="1" applyAlignment="1">
      <alignment horizontal="center" wrapText="1"/>
    </xf>
    <xf numFmtId="0" fontId="0" fillId="3" borderId="5" xfId="0" applyFill="1" applyBorder="1" applyAlignment="1">
      <alignment horizontal="center" wrapText="1"/>
    </xf>
    <xf numFmtId="14" fontId="6" fillId="0" borderId="32" xfId="0" applyNumberFormat="1" applyFont="1" applyBorder="1" applyAlignment="1">
      <alignment horizontal="left"/>
    </xf>
    <xf numFmtId="0" fontId="47" fillId="0" borderId="18" xfId="0" applyFont="1" applyBorder="1" applyAlignment="1">
      <alignment horizontal="left"/>
    </xf>
    <xf numFmtId="0" fontId="6" fillId="0" borderId="19" xfId="0" applyFont="1" applyBorder="1" applyAlignment="1">
      <alignment horizontal="center" vertical="center" wrapText="1"/>
    </xf>
    <xf numFmtId="0" fontId="0" fillId="3" borderId="17" xfId="0" applyFill="1" applyBorder="1" applyAlignment="1">
      <alignment horizontal="center" wrapText="1"/>
    </xf>
    <xf numFmtId="0" fontId="0" fillId="3" borderId="18" xfId="0" applyFill="1" applyBorder="1" applyAlignment="1">
      <alignment horizontal="center" wrapText="1"/>
    </xf>
    <xf numFmtId="0" fontId="0" fillId="3" borderId="19" xfId="0" applyFill="1" applyBorder="1" applyAlignment="1">
      <alignment horizontal="center" wrapText="1"/>
    </xf>
    <xf numFmtId="0" fontId="23" fillId="0" borderId="4" xfId="0" applyFont="1" applyBorder="1" applyAlignment="1">
      <alignment horizontal="left" vertical="center" wrapText="1"/>
    </xf>
    <xf numFmtId="0" fontId="23" fillId="0" borderId="0" xfId="0" applyFont="1" applyAlignment="1">
      <alignment vertical="center" wrapText="1"/>
    </xf>
    <xf numFmtId="0" fontId="23" fillId="0" borderId="5" xfId="0" applyFont="1" applyBorder="1" applyAlignment="1">
      <alignment vertical="center" wrapText="1"/>
    </xf>
    <xf numFmtId="0" fontId="14" fillId="0" borderId="25"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30" xfId="0" applyFont="1" applyBorder="1" applyAlignment="1">
      <alignment horizontal="center" vertical="center" wrapText="1"/>
    </xf>
    <xf numFmtId="165" fontId="14" fillId="0" borderId="25" xfId="0" applyNumberFormat="1" applyFont="1" applyBorder="1" applyAlignment="1">
      <alignment horizontal="center" vertical="center" wrapText="1"/>
    </xf>
    <xf numFmtId="165" fontId="14" fillId="0" borderId="4" xfId="0" applyNumberFormat="1" applyFont="1" applyBorder="1" applyAlignment="1">
      <alignment horizontal="left" vertical="center" wrapText="1"/>
    </xf>
    <xf numFmtId="165" fontId="14" fillId="0" borderId="10" xfId="0" applyNumberFormat="1" applyFont="1" applyBorder="1" applyAlignment="1">
      <alignment horizontal="center" vertical="center" wrapText="1"/>
    </xf>
    <xf numFmtId="167" fontId="14" fillId="0" borderId="0" xfId="0" applyNumberFormat="1" applyFont="1" applyAlignment="1">
      <alignment horizontal="center" vertical="center" wrapText="1"/>
    </xf>
    <xf numFmtId="164" fontId="14" fillId="0" borderId="5" xfId="0" applyNumberFormat="1" applyFont="1" applyBorder="1" applyAlignment="1">
      <alignment horizontal="center" vertical="center" wrapText="1"/>
    </xf>
    <xf numFmtId="167" fontId="14" fillId="0" borderId="25" xfId="0" applyNumberFormat="1" applyFont="1" applyBorder="1" applyAlignment="1">
      <alignment horizontal="center" vertical="center" wrapText="1"/>
    </xf>
    <xf numFmtId="164" fontId="14" fillId="0" borderId="25" xfId="0" applyNumberFormat="1" applyFont="1" applyBorder="1" applyAlignment="1">
      <alignment horizontal="center" vertical="center" wrapText="1"/>
    </xf>
    <xf numFmtId="0" fontId="14" fillId="0" borderId="4" xfId="0" applyFont="1" applyBorder="1" applyAlignment="1">
      <alignment horizontal="left" vertical="center"/>
    </xf>
    <xf numFmtId="165" fontId="14" fillId="0" borderId="21" xfId="0" applyNumberFormat="1" applyFont="1" applyBorder="1" applyAlignment="1">
      <alignment horizontal="center" vertical="center" wrapText="1"/>
    </xf>
    <xf numFmtId="0" fontId="14" fillId="0" borderId="29" xfId="0" applyFont="1" applyBorder="1" applyAlignment="1">
      <alignment horizontal="center" vertical="center" wrapText="1"/>
    </xf>
    <xf numFmtId="0" fontId="14" fillId="3" borderId="27" xfId="0" applyFont="1" applyFill="1" applyBorder="1" applyAlignment="1">
      <alignment horizontal="center" vertical="center" wrapText="1"/>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xf numFmtId="2" fontId="13" fillId="0" borderId="14" xfId="0" applyNumberFormat="1" applyFont="1" applyBorder="1" applyAlignment="1">
      <alignment horizontal="center"/>
    </xf>
    <xf numFmtId="0" fontId="13" fillId="0" borderId="0" xfId="0" applyFont="1" applyAlignment="1">
      <alignment horizontal="center" vertical="center" wrapText="1"/>
    </xf>
    <xf numFmtId="2" fontId="13" fillId="0" borderId="0" xfId="0" applyNumberFormat="1" applyFont="1" applyAlignment="1">
      <alignment wrapText="1"/>
    </xf>
    <xf numFmtId="0" fontId="14" fillId="0" borderId="37" xfId="0" applyFont="1" applyBorder="1" applyAlignment="1">
      <alignment horizontal="left"/>
    </xf>
    <xf numFmtId="0" fontId="14" fillId="0" borderId="21" xfId="0" applyFont="1" applyBorder="1" applyAlignment="1">
      <alignment horizontal="left"/>
    </xf>
    <xf numFmtId="165" fontId="14" fillId="0" borderId="21" xfId="0" applyNumberFormat="1" applyFont="1" applyBorder="1" applyAlignment="1">
      <alignment horizontal="center" wrapText="1"/>
    </xf>
    <xf numFmtId="2" fontId="14" fillId="0" borderId="21" xfId="0" applyNumberFormat="1" applyFont="1" applyBorder="1" applyAlignment="1">
      <alignment horizontal="center" wrapText="1"/>
    </xf>
    <xf numFmtId="2" fontId="14" fillId="0" borderId="21" xfId="0" applyNumberFormat="1" applyFont="1" applyBorder="1" applyAlignment="1">
      <alignment horizontal="center"/>
    </xf>
    <xf numFmtId="2" fontId="13" fillId="0" borderId="5" xfId="0" applyNumberFormat="1" applyFont="1" applyBorder="1" applyAlignment="1">
      <alignment horizontal="center"/>
    </xf>
    <xf numFmtId="0" fontId="13" fillId="5" borderId="0" xfId="0" applyFont="1" applyFill="1" applyAlignment="1">
      <alignment vertical="center"/>
    </xf>
    <xf numFmtId="0" fontId="13" fillId="0" borderId="5" xfId="0" applyFont="1" applyBorder="1" applyAlignment="1">
      <alignment vertical="center"/>
    </xf>
    <xf numFmtId="0" fontId="13" fillId="0" borderId="0" xfId="0" applyFont="1" applyAlignment="1">
      <alignment vertical="center"/>
    </xf>
    <xf numFmtId="0" fontId="0" fillId="0" borderId="4" xfId="0" applyBorder="1" applyAlignment="1">
      <alignment horizontal="left"/>
    </xf>
    <xf numFmtId="0" fontId="14" fillId="0" borderId="17" xfId="0" applyFont="1" applyBorder="1" applyAlignment="1">
      <alignment horizontal="left" vertical="center" wrapText="1"/>
    </xf>
    <xf numFmtId="0" fontId="0" fillId="0" borderId="0" xfId="0" applyAlignment="1">
      <alignment horizontal="left"/>
    </xf>
    <xf numFmtId="0" fontId="46" fillId="0" borderId="6" xfId="0" applyFont="1" applyBorder="1"/>
    <xf numFmtId="0" fontId="46" fillId="0" borderId="7" xfId="0" applyFont="1" applyBorder="1"/>
    <xf numFmtId="0" fontId="0" fillId="0" borderId="7" xfId="0" applyBorder="1" applyAlignment="1">
      <alignment wrapText="1"/>
    </xf>
    <xf numFmtId="0" fontId="6" fillId="0" borderId="27" xfId="0" applyFont="1" applyBorder="1" applyAlignment="1">
      <alignment horizontal="center" vertical="center" wrapText="1"/>
    </xf>
    <xf numFmtId="0" fontId="48" fillId="3" borderId="18" xfId="0" applyFont="1" applyFill="1" applyBorder="1" applyAlignment="1">
      <alignment horizontal="left"/>
    </xf>
    <xf numFmtId="0" fontId="23" fillId="0" borderId="4" xfId="0" applyFont="1" applyBorder="1" applyAlignment="1">
      <alignment vertical="center" wrapText="1"/>
    </xf>
    <xf numFmtId="165" fontId="14" fillId="0" borderId="4" xfId="0" applyNumberFormat="1" applyFont="1" applyBorder="1" applyAlignment="1">
      <alignment horizontal="center" vertical="center" wrapText="1"/>
    </xf>
    <xf numFmtId="0" fontId="14" fillId="0" borderId="37" xfId="0" applyFont="1" applyBorder="1" applyAlignment="1">
      <alignment vertical="center"/>
    </xf>
    <xf numFmtId="0" fontId="14" fillId="0" borderId="21" xfId="0" applyFont="1" applyBorder="1" applyAlignment="1">
      <alignment vertical="center"/>
    </xf>
    <xf numFmtId="0" fontId="14" fillId="0" borderId="21" xfId="0" applyFont="1" applyBorder="1" applyAlignment="1">
      <alignment horizontal="center" vertical="center" wrapText="1"/>
    </xf>
    <xf numFmtId="0" fontId="0" fillId="0" borderId="21" xfId="0" applyBorder="1"/>
    <xf numFmtId="0" fontId="14" fillId="0" borderId="26" xfId="0" applyFont="1" applyBorder="1" applyAlignment="1">
      <alignment horizontal="center" vertical="center" wrapText="1"/>
    </xf>
    <xf numFmtId="0" fontId="0" fillId="0" borderId="18" xfId="0" applyBorder="1"/>
    <xf numFmtId="0" fontId="0" fillId="0" borderId="4" xfId="0" applyBorder="1"/>
    <xf numFmtId="0" fontId="12" fillId="0" borderId="14" xfId="0" applyFont="1" applyBorder="1" applyAlignment="1">
      <alignment horizontal="center" vertical="center" wrapText="1"/>
    </xf>
    <xf numFmtId="0" fontId="13" fillId="0" borderId="4" xfId="0" applyFont="1" applyBorder="1" applyAlignment="1">
      <alignment horizontal="center" vertical="center" wrapText="1"/>
    </xf>
    <xf numFmtId="0" fontId="10" fillId="0" borderId="0" xfId="0" applyFont="1" applyAlignment="1">
      <alignment horizontal="left" vertical="center"/>
    </xf>
    <xf numFmtId="2" fontId="14" fillId="0" borderId="14" xfId="0" applyNumberFormat="1" applyFont="1" applyBorder="1" applyAlignment="1">
      <alignment horizontal="center"/>
    </xf>
    <xf numFmtId="2" fontId="13" fillId="0" borderId="4" xfId="0" applyNumberFormat="1" applyFont="1" applyBorder="1" applyAlignment="1">
      <alignment horizontal="center"/>
    </xf>
    <xf numFmtId="0" fontId="14" fillId="0" borderId="15" xfId="0" applyFont="1" applyBorder="1" applyAlignment="1">
      <alignment vertical="center" wrapText="1"/>
    </xf>
    <xf numFmtId="0" fontId="14" fillId="0" borderId="16" xfId="0" applyFont="1" applyBorder="1" applyAlignment="1">
      <alignment vertical="center" wrapText="1"/>
    </xf>
    <xf numFmtId="0" fontId="14" fillId="0" borderId="19" xfId="0" applyFont="1" applyBorder="1" applyAlignment="1">
      <alignment vertical="center" wrapText="1"/>
    </xf>
    <xf numFmtId="0" fontId="10" fillId="5" borderId="34" xfId="0" applyFont="1" applyFill="1" applyBorder="1" applyAlignment="1">
      <alignment vertical="center"/>
    </xf>
    <xf numFmtId="0" fontId="13" fillId="5" borderId="35" xfId="0" applyFont="1" applyFill="1" applyBorder="1" applyAlignment="1">
      <alignment vertical="center"/>
    </xf>
    <xf numFmtId="0" fontId="13" fillId="5" borderId="36" xfId="0" applyFont="1" applyFill="1" applyBorder="1" applyAlignment="1">
      <alignment vertical="center"/>
    </xf>
    <xf numFmtId="0" fontId="0" fillId="0" borderId="7" xfId="0" applyBorder="1"/>
    <xf numFmtId="0" fontId="47" fillId="0" borderId="47" xfId="0" applyFont="1" applyBorder="1"/>
    <xf numFmtId="0" fontId="9" fillId="3" borderId="7" xfId="0" applyFont="1" applyFill="1" applyBorder="1" applyAlignment="1">
      <alignment vertical="center" wrapText="1"/>
    </xf>
    <xf numFmtId="0" fontId="9" fillId="3" borderId="8" xfId="0" applyFont="1" applyFill="1" applyBorder="1" applyAlignment="1">
      <alignment vertical="center" wrapText="1"/>
    </xf>
    <xf numFmtId="0" fontId="46" fillId="0" borderId="4" xfId="0" applyFont="1" applyBorder="1"/>
    <xf numFmtId="0" fontId="47" fillId="0" borderId="10" xfId="0" applyFont="1" applyBorder="1"/>
    <xf numFmtId="0" fontId="47" fillId="0" borderId="24" xfId="0" applyFont="1" applyBorder="1"/>
    <xf numFmtId="0" fontId="9" fillId="3" borderId="0" xfId="0" applyFont="1" applyFill="1" applyAlignment="1">
      <alignment vertical="center" wrapText="1"/>
    </xf>
    <xf numFmtId="0" fontId="9" fillId="3" borderId="5" xfId="0" applyFont="1" applyFill="1" applyBorder="1" applyAlignment="1">
      <alignment vertical="center" wrapText="1"/>
    </xf>
    <xf numFmtId="0" fontId="47" fillId="0" borderId="33" xfId="0" applyFont="1" applyBorder="1"/>
    <xf numFmtId="14" fontId="47" fillId="0" borderId="32" xfId="0" applyNumberFormat="1" applyFont="1" applyBorder="1" applyAlignment="1">
      <alignment horizontal="left"/>
    </xf>
    <xf numFmtId="14" fontId="47" fillId="0" borderId="33" xfId="0" applyNumberFormat="1" applyFont="1" applyBorder="1" applyAlignment="1">
      <alignment horizontal="left"/>
    </xf>
    <xf numFmtId="0" fontId="46" fillId="0" borderId="17" xfId="0" applyFont="1" applyBorder="1" applyAlignment="1">
      <alignment wrapText="1"/>
    </xf>
    <xf numFmtId="0" fontId="0" fillId="0" borderId="48" xfId="0" applyBorder="1" applyAlignment="1">
      <alignment wrapText="1"/>
    </xf>
    <xf numFmtId="0" fontId="9" fillId="3" borderId="18" xfId="0" applyFont="1" applyFill="1" applyBorder="1" applyAlignment="1">
      <alignment vertical="center" wrapText="1"/>
    </xf>
    <xf numFmtId="0" fontId="9" fillId="3" borderId="19" xfId="0" applyFont="1" applyFill="1" applyBorder="1" applyAlignment="1">
      <alignment vertical="center" wrapText="1"/>
    </xf>
    <xf numFmtId="0" fontId="0" fillId="0" borderId="6" xfId="0" applyBorder="1"/>
    <xf numFmtId="0" fontId="0" fillId="0" borderId="8" xfId="0" applyBorder="1"/>
    <xf numFmtId="0" fontId="28" fillId="0" borderId="0" xfId="0" applyFont="1" applyAlignment="1">
      <alignment vertical="center" wrapText="1"/>
    </xf>
    <xf numFmtId="0" fontId="0" fillId="5" borderId="32" xfId="0" applyFill="1" applyBorder="1"/>
    <xf numFmtId="0" fontId="0" fillId="5" borderId="27" xfId="0" applyFill="1" applyBorder="1"/>
    <xf numFmtId="0" fontId="67" fillId="0" borderId="4" xfId="0" applyFont="1" applyBorder="1" applyAlignment="1">
      <alignment horizontal="left" vertical="center" wrapText="1"/>
    </xf>
    <xf numFmtId="0" fontId="67" fillId="0" borderId="32" xfId="0" applyFont="1" applyBorder="1" applyAlignment="1">
      <alignment horizontal="left" vertical="center" wrapText="1"/>
    </xf>
    <xf numFmtId="0" fontId="67" fillId="0" borderId="0" xfId="0" applyFont="1" applyAlignment="1">
      <alignment horizontal="left" vertical="center" wrapText="1"/>
    </xf>
    <xf numFmtId="0" fontId="0" fillId="0" borderId="4" xfId="0" applyBorder="1" applyAlignment="1">
      <alignment vertical="center"/>
    </xf>
    <xf numFmtId="0" fontId="0" fillId="0" borderId="0" xfId="0" applyAlignment="1">
      <alignment horizontal="right" vertical="center" wrapText="1"/>
    </xf>
    <xf numFmtId="0" fontId="0" fillId="0" borderId="0" xfId="0" applyAlignment="1">
      <alignment vertical="center" wrapText="1"/>
    </xf>
    <xf numFmtId="11" fontId="0" fillId="0" borderId="0" xfId="0" applyNumberFormat="1" applyAlignment="1">
      <alignment vertical="center" wrapText="1"/>
    </xf>
    <xf numFmtId="0" fontId="0" fillId="0" borderId="0" xfId="0" applyAlignment="1">
      <alignment horizontal="right" vertical="center"/>
    </xf>
    <xf numFmtId="0" fontId="50" fillId="0" borderId="5" xfId="0" applyFont="1" applyBorder="1" applyAlignment="1">
      <alignment vertical="center" wrapText="1"/>
    </xf>
    <xf numFmtId="0" fontId="50" fillId="0" borderId="0" xfId="0" applyFont="1" applyAlignment="1">
      <alignment vertical="center" wrapText="1"/>
    </xf>
    <xf numFmtId="11" fontId="0" fillId="0" borderId="10" xfId="0" applyNumberFormat="1" applyBorder="1" applyAlignment="1">
      <alignment horizontal="center" vertical="center"/>
    </xf>
    <xf numFmtId="0" fontId="0" fillId="0" borderId="10" xfId="0" applyBorder="1" applyAlignment="1">
      <alignment vertical="center" wrapText="1"/>
    </xf>
    <xf numFmtId="0" fontId="36" fillId="0" borderId="0" xfId="0" applyFont="1" applyAlignment="1">
      <alignment vertical="center" wrapText="1"/>
    </xf>
    <xf numFmtId="0" fontId="0" fillId="5" borderId="0" xfId="0" applyFill="1"/>
    <xf numFmtId="0" fontId="0" fillId="5" borderId="5" xfId="0" applyFill="1" applyBorder="1"/>
    <xf numFmtId="0" fontId="49" fillId="0" borderId="0" xfId="0" applyFont="1" applyAlignment="1">
      <alignment vertical="center" wrapText="1"/>
    </xf>
    <xf numFmtId="0" fontId="1" fillId="0" borderId="0" xfId="0" applyFont="1" applyAlignment="1">
      <alignment horizontal="center"/>
    </xf>
    <xf numFmtId="0" fontId="0" fillId="5" borderId="0" xfId="0" applyFill="1" applyAlignment="1">
      <alignment vertical="center" wrapText="1"/>
    </xf>
    <xf numFmtId="0" fontId="0" fillId="5" borderId="5" xfId="0" applyFill="1" applyBorder="1" applyAlignment="1">
      <alignment vertical="center" wrapText="1"/>
    </xf>
    <xf numFmtId="0" fontId="1" fillId="0" borderId="4" xfId="0" applyFont="1" applyBorder="1" applyAlignment="1">
      <alignment vertical="center" wrapText="1"/>
    </xf>
    <xf numFmtId="0" fontId="1" fillId="0" borderId="0" xfId="0" applyFont="1" applyAlignment="1">
      <alignment vertical="center" wrapText="1"/>
    </xf>
    <xf numFmtId="0" fontId="0" fillId="0" borderId="5" xfId="0" applyBorder="1" applyAlignment="1">
      <alignment vertical="center" wrapText="1"/>
    </xf>
    <xf numFmtId="0" fontId="53" fillId="0" borderId="4" xfId="0" applyFont="1" applyBorder="1" applyAlignment="1">
      <alignment vertical="center" wrapText="1"/>
    </xf>
    <xf numFmtId="0" fontId="53" fillId="0" borderId="0" xfId="0" applyFont="1" applyAlignment="1">
      <alignment horizontal="center" vertical="center" wrapText="1"/>
    </xf>
    <xf numFmtId="0" fontId="53" fillId="0" borderId="0" xfId="0" applyFont="1" applyAlignment="1">
      <alignment vertical="center" wrapText="1"/>
    </xf>
    <xf numFmtId="0" fontId="54" fillId="0" borderId="0" xfId="0" applyFont="1" applyAlignment="1">
      <alignment vertical="center" wrapText="1"/>
    </xf>
    <xf numFmtId="0" fontId="54" fillId="0" borderId="5" xfId="0" applyFont="1" applyBorder="1" applyAlignment="1">
      <alignment vertical="center" wrapText="1"/>
    </xf>
    <xf numFmtId="0" fontId="0" fillId="0" borderId="10" xfId="0" applyBorder="1" applyAlignment="1">
      <alignment horizontal="center" vertical="center" wrapText="1"/>
    </xf>
    <xf numFmtId="0" fontId="68" fillId="0" borderId="10" xfId="0" applyFont="1" applyBorder="1" applyAlignment="1">
      <alignment horizontal="center" vertical="center" wrapText="1"/>
    </xf>
    <xf numFmtId="0" fontId="52" fillId="0" borderId="5" xfId="0" applyFont="1" applyBorder="1" applyAlignment="1">
      <alignment vertical="center" wrapText="1"/>
    </xf>
    <xf numFmtId="0" fontId="0" fillId="0" borderId="0" xfId="0" applyAlignment="1">
      <alignment horizontal="center" vertical="center" wrapText="1"/>
    </xf>
    <xf numFmtId="0" fontId="68" fillId="0" borderId="0" xfId="0" applyFont="1" applyAlignment="1">
      <alignment horizontal="center" vertical="center" wrapText="1"/>
    </xf>
    <xf numFmtId="0" fontId="52" fillId="0" borderId="0" xfId="0" applyFont="1" applyAlignment="1">
      <alignment wrapText="1"/>
    </xf>
    <xf numFmtId="0" fontId="0" fillId="0" borderId="4" xfId="0" applyBorder="1" applyAlignment="1">
      <alignment horizontal="right" vertical="center" wrapText="1"/>
    </xf>
    <xf numFmtId="2" fontId="52" fillId="0" borderId="0" xfId="0" applyNumberFormat="1" applyFont="1" applyAlignment="1">
      <alignment horizontal="center" vertical="center" wrapText="1"/>
    </xf>
    <xf numFmtId="164" fontId="52" fillId="0" borderId="0" xfId="0" applyNumberFormat="1" applyFont="1" applyAlignment="1">
      <alignment horizontal="center" vertical="center" wrapText="1"/>
    </xf>
    <xf numFmtId="0" fontId="54" fillId="5" borderId="5" xfId="0" applyFont="1" applyFill="1" applyBorder="1" applyAlignment="1">
      <alignment vertical="center" wrapText="1"/>
    </xf>
    <xf numFmtId="0" fontId="0" fillId="0" borderId="4" xfId="0" applyBorder="1" applyAlignment="1">
      <alignment horizontal="left" vertical="center"/>
    </xf>
    <xf numFmtId="0" fontId="0" fillId="0" borderId="0" xfId="0" applyAlignment="1">
      <alignment horizontal="center" wrapText="1"/>
    </xf>
    <xf numFmtId="0" fontId="68" fillId="0" borderId="10" xfId="0" applyFont="1" applyBorder="1" applyAlignment="1">
      <alignment vertical="center" wrapText="1"/>
    </xf>
    <xf numFmtId="0" fontId="55" fillId="0" borderId="0" xfId="0" applyFont="1" applyAlignment="1">
      <alignment horizontal="center" wrapText="1"/>
    </xf>
    <xf numFmtId="166" fontId="52" fillId="0" borderId="10" xfId="0" applyNumberFormat="1" applyFont="1" applyBorder="1" applyAlignment="1">
      <alignment horizontal="center" vertical="center" wrapText="1"/>
    </xf>
    <xf numFmtId="0" fontId="0" fillId="0" borderId="4" xfId="0" applyBorder="1" applyAlignment="1">
      <alignment vertical="center" wrapText="1"/>
    </xf>
    <xf numFmtId="0" fontId="52" fillId="0" borderId="0" xfId="0" applyFont="1" applyAlignment="1">
      <alignment vertical="center" wrapText="1"/>
    </xf>
    <xf numFmtId="0" fontId="52" fillId="0" borderId="0" xfId="0" applyFont="1" applyAlignment="1">
      <alignment vertical="center"/>
    </xf>
    <xf numFmtId="0" fontId="52" fillId="0" borderId="10" xfId="0" applyFont="1" applyBorder="1" applyAlignment="1">
      <alignment horizontal="center" vertical="center" wrapText="1"/>
    </xf>
    <xf numFmtId="0" fontId="52" fillId="0" borderId="0" xfId="0" applyFont="1" applyAlignment="1">
      <alignment horizontal="center" vertical="center" wrapText="1"/>
    </xf>
    <xf numFmtId="0" fontId="0" fillId="0" borderId="0" xfId="0" applyAlignment="1">
      <alignment vertical="center"/>
    </xf>
    <xf numFmtId="0" fontId="36" fillId="0" borderId="9" xfId="0" applyFont="1" applyBorder="1" applyAlignment="1">
      <alignment vertical="center" wrapText="1"/>
    </xf>
    <xf numFmtId="0" fontId="36" fillId="0" borderId="10" xfId="0" applyFont="1" applyBorder="1" applyAlignment="1">
      <alignment vertical="center" wrapText="1"/>
    </xf>
    <xf numFmtId="0" fontId="0" fillId="0" borderId="10" xfId="0" applyBorder="1"/>
    <xf numFmtId="0" fontId="0" fillId="0" borderId="11" xfId="0" applyBorder="1" applyAlignment="1">
      <alignment horizontal="right"/>
    </xf>
    <xf numFmtId="0" fontId="58" fillId="0" borderId="4" xfId="0" applyFont="1" applyBorder="1" applyAlignment="1">
      <alignment vertical="center"/>
    </xf>
    <xf numFmtId="0" fontId="1" fillId="0" borderId="4" xfId="0" applyFont="1" applyBorder="1" applyAlignment="1">
      <alignment vertical="center"/>
    </xf>
    <xf numFmtId="0" fontId="1" fillId="0" borderId="0" xfId="0" applyFont="1"/>
    <xf numFmtId="0" fontId="0" fillId="0" borderId="9" xfId="0" applyBorder="1" applyAlignment="1">
      <alignment horizontal="right" vertical="center"/>
    </xf>
    <xf numFmtId="0" fontId="0" fillId="0" borderId="10" xfId="0" applyBorder="1" applyAlignment="1">
      <alignment horizontal="right"/>
    </xf>
    <xf numFmtId="0" fontId="0" fillId="0" borderId="60" xfId="0" applyBorder="1"/>
    <xf numFmtId="0" fontId="0" fillId="0" borderId="29" xfId="0" applyBorder="1"/>
    <xf numFmtId="0" fontId="62" fillId="0" borderId="1" xfId="0" applyFont="1" applyBorder="1" applyAlignment="1">
      <alignment horizontal="justify" vertical="center" wrapText="1"/>
    </xf>
    <xf numFmtId="0" fontId="62" fillId="0" borderId="2" xfId="0" applyFont="1" applyBorder="1" applyAlignment="1">
      <alignment horizontal="justify" vertical="center" wrapText="1"/>
    </xf>
    <xf numFmtId="0" fontId="62" fillId="0" borderId="3" xfId="0" applyFont="1" applyBorder="1" applyAlignment="1">
      <alignment horizontal="justify" vertical="center" wrapText="1"/>
    </xf>
    <xf numFmtId="0" fontId="62" fillId="0" borderId="1" xfId="0" applyFont="1" applyBorder="1" applyAlignment="1">
      <alignment horizontal="center" vertical="center" wrapText="1"/>
    </xf>
    <xf numFmtId="0" fontId="62" fillId="0" borderId="3" xfId="0" applyFont="1" applyBorder="1" applyAlignment="1">
      <alignment horizontal="center" vertical="center" wrapText="1"/>
    </xf>
    <xf numFmtId="0" fontId="0" fillId="12" borderId="0" xfId="0" applyFill="1"/>
    <xf numFmtId="0" fontId="62" fillId="0" borderId="53" xfId="0" applyFont="1" applyBorder="1" applyAlignment="1">
      <alignment vertical="center" wrapText="1"/>
    </xf>
    <xf numFmtId="0" fontId="55" fillId="0" borderId="10" xfId="0" applyFont="1" applyBorder="1" applyAlignment="1">
      <alignment vertical="center" wrapText="1"/>
    </xf>
    <xf numFmtId="0" fontId="55" fillId="0" borderId="65" xfId="0" applyFont="1" applyBorder="1" applyAlignment="1">
      <alignment horizontal="center" vertical="center" wrapText="1"/>
    </xf>
    <xf numFmtId="0" fontId="55" fillId="0" borderId="57" xfId="0" applyFont="1" applyBorder="1" applyAlignment="1">
      <alignment horizontal="center" vertical="center" wrapText="1"/>
    </xf>
    <xf numFmtId="0" fontId="64" fillId="0" borderId="8" xfId="0" applyFont="1" applyBorder="1" applyAlignment="1">
      <alignment horizontal="justify" vertical="center" wrapText="1"/>
    </xf>
    <xf numFmtId="0" fontId="64" fillId="0" borderId="8" xfId="0" applyFont="1" applyBorder="1" applyAlignment="1">
      <alignment horizontal="center" vertical="center" wrapText="1"/>
    </xf>
    <xf numFmtId="0" fontId="0" fillId="0" borderId="21" xfId="0" applyBorder="1" applyAlignment="1">
      <alignment horizontal="center" vertical="center" wrapText="1"/>
    </xf>
    <xf numFmtId="0" fontId="0" fillId="0" borderId="66" xfId="0" applyBorder="1" applyAlignment="1">
      <alignment horizontal="center" vertical="center" wrapText="1"/>
    </xf>
    <xf numFmtId="0" fontId="1" fillId="0" borderId="59" xfId="0" applyFont="1" applyBorder="1" applyAlignment="1">
      <alignment horizontal="center" vertical="center" wrapText="1"/>
    </xf>
    <xf numFmtId="0" fontId="62" fillId="0" borderId="55" xfId="0" applyFont="1" applyBorder="1" applyAlignment="1">
      <alignment vertical="center" wrapText="1"/>
    </xf>
    <xf numFmtId="0" fontId="64" fillId="0" borderId="5" xfId="0" applyFont="1" applyBorder="1" applyAlignment="1">
      <alignment horizontal="justify" vertical="center" wrapText="1"/>
    </xf>
    <xf numFmtId="0" fontId="64" fillId="0" borderId="5" xfId="0" applyFont="1" applyBorder="1" applyAlignment="1">
      <alignment horizontal="center" vertical="center" wrapText="1"/>
    </xf>
    <xf numFmtId="0" fontId="52" fillId="0" borderId="57" xfId="0" applyFont="1" applyBorder="1" applyAlignment="1">
      <alignment horizontal="center" vertical="center" wrapText="1"/>
    </xf>
    <xf numFmtId="0" fontId="0" fillId="0" borderId="68" xfId="0" applyBorder="1" applyAlignment="1">
      <alignment horizontal="center" vertical="center" wrapText="1"/>
    </xf>
    <xf numFmtId="0" fontId="1" fillId="0" borderId="54" xfId="0" applyFont="1" applyBorder="1" applyAlignment="1">
      <alignment horizontal="center" vertical="center" wrapText="1"/>
    </xf>
    <xf numFmtId="0" fontId="62" fillId="0" borderId="56" xfId="0" applyFont="1" applyBorder="1" applyAlignment="1">
      <alignment vertical="center" wrapText="1"/>
    </xf>
    <xf numFmtId="0" fontId="64" fillId="0" borderId="19" xfId="0" applyFont="1" applyBorder="1" applyAlignment="1">
      <alignment horizontal="justify" vertical="center" wrapText="1"/>
    </xf>
    <xf numFmtId="0" fontId="64" fillId="0" borderId="19" xfId="0" applyFont="1" applyBorder="1" applyAlignment="1">
      <alignment horizontal="center" vertical="center" wrapText="1"/>
    </xf>
    <xf numFmtId="0" fontId="0" fillId="0" borderId="63" xfId="0" applyBorder="1" applyAlignment="1">
      <alignment vertical="center"/>
    </xf>
    <xf numFmtId="0" fontId="0" fillId="0" borderId="64" xfId="0" applyBorder="1"/>
    <xf numFmtId="0" fontId="52" fillId="0" borderId="21" xfId="0" applyFont="1" applyBorder="1" applyAlignment="1">
      <alignment horizontal="center" vertical="center" wrapText="1"/>
    </xf>
    <xf numFmtId="0" fontId="52" fillId="0" borderId="66" xfId="0" applyFont="1" applyBorder="1" applyAlignment="1">
      <alignment horizontal="center" vertical="center" wrapText="1"/>
    </xf>
    <xf numFmtId="0" fontId="52" fillId="0" borderId="59" xfId="0" applyFont="1" applyBorder="1" applyAlignment="1">
      <alignment horizontal="center" vertical="center" wrapText="1"/>
    </xf>
    <xf numFmtId="0" fontId="55" fillId="0" borderId="0" xfId="0" applyFont="1" applyAlignment="1">
      <alignment vertical="center"/>
    </xf>
    <xf numFmtId="0" fontId="10" fillId="0" borderId="4" xfId="0" applyFont="1" applyBorder="1" applyAlignment="1">
      <alignment horizontal="left" vertical="center" wrapText="1"/>
    </xf>
    <xf numFmtId="0" fontId="10" fillId="0" borderId="0" xfId="0" applyFont="1" applyAlignment="1">
      <alignment horizontal="left" vertical="center" wrapText="1"/>
    </xf>
    <xf numFmtId="0" fontId="1" fillId="0" borderId="0" xfId="0" applyFont="1" applyAlignment="1">
      <alignment vertical="center"/>
    </xf>
    <xf numFmtId="0" fontId="52" fillId="0" borderId="10" xfId="0" applyFont="1" applyBorder="1" applyAlignment="1">
      <alignment vertical="center"/>
    </xf>
    <xf numFmtId="0" fontId="0" fillId="0" borderId="4" xfId="0" applyBorder="1" applyAlignment="1">
      <alignment horizontal="right" vertical="center"/>
    </xf>
    <xf numFmtId="0" fontId="52" fillId="0" borderId="0" xfId="0" applyFont="1" applyAlignment="1">
      <alignment horizontal="right" vertical="center"/>
    </xf>
    <xf numFmtId="0" fontId="69" fillId="0" borderId="17" xfId="0" applyFont="1" applyBorder="1" applyAlignment="1">
      <alignment vertical="center"/>
    </xf>
    <xf numFmtId="0" fontId="58" fillId="0" borderId="18" xfId="0" applyFont="1" applyBorder="1"/>
    <xf numFmtId="0" fontId="58" fillId="0" borderId="19" xfId="0" applyFont="1" applyBorder="1"/>
    <xf numFmtId="0" fontId="58" fillId="0" borderId="0" xfId="0" applyFont="1"/>
    <xf numFmtId="0" fontId="0" fillId="11" borderId="32" xfId="0" applyFill="1" applyBorder="1" applyAlignment="1" applyProtection="1">
      <alignment vertical="center"/>
      <protection locked="0"/>
    </xf>
    <xf numFmtId="0" fontId="0" fillId="11" borderId="32" xfId="0" applyFill="1" applyBorder="1" applyAlignment="1" applyProtection="1">
      <alignment vertical="center" wrapText="1"/>
      <protection locked="0"/>
    </xf>
    <xf numFmtId="0" fontId="0" fillId="11" borderId="10" xfId="0" applyFill="1" applyBorder="1" applyAlignment="1" applyProtection="1">
      <alignment vertical="center" wrapText="1"/>
      <protection locked="0"/>
    </xf>
    <xf numFmtId="0" fontId="1" fillId="11" borderId="10" xfId="0" applyFont="1" applyFill="1" applyBorder="1" applyAlignment="1" applyProtection="1">
      <alignment horizontal="center"/>
      <protection locked="0"/>
    </xf>
    <xf numFmtId="0" fontId="52" fillId="11" borderId="10" xfId="0" applyFont="1" applyFill="1" applyBorder="1" applyAlignment="1" applyProtection="1">
      <alignment vertical="center" wrapText="1"/>
      <protection locked="0"/>
    </xf>
    <xf numFmtId="0" fontId="68" fillId="11" borderId="10" xfId="0" applyFont="1" applyFill="1" applyBorder="1" applyAlignment="1" applyProtection="1">
      <alignment vertical="center" wrapText="1"/>
      <protection locked="0"/>
    </xf>
    <xf numFmtId="0" fontId="52" fillId="11" borderId="67" xfId="0" applyFont="1" applyFill="1" applyBorder="1" applyAlignment="1" applyProtection="1">
      <alignment horizontal="center" vertical="center" wrapText="1"/>
      <protection locked="0"/>
    </xf>
    <xf numFmtId="0" fontId="38" fillId="11" borderId="10" xfId="0" applyFont="1" applyFill="1" applyBorder="1" applyAlignment="1" applyProtection="1">
      <alignment horizontal="left" vertical="center" indent="2"/>
      <protection locked="0"/>
    </xf>
    <xf numFmtId="0" fontId="38" fillId="11" borderId="10" xfId="0" applyFont="1" applyFill="1" applyBorder="1" applyAlignment="1" applyProtection="1">
      <alignment horizontal="left" vertical="center" wrapText="1"/>
      <protection locked="0"/>
    </xf>
    <xf numFmtId="0" fontId="38" fillId="11" borderId="32" xfId="0" applyFont="1" applyFill="1" applyBorder="1" applyAlignment="1" applyProtection="1">
      <alignment horizontal="left" vertical="center" wrapText="1"/>
      <protection locked="0"/>
    </xf>
    <xf numFmtId="0" fontId="37" fillId="11" borderId="10" xfId="0" applyFont="1" applyFill="1" applyBorder="1" applyAlignment="1" applyProtection="1">
      <alignment wrapText="1"/>
      <protection locked="0"/>
    </xf>
    <xf numFmtId="0" fontId="38" fillId="11" borderId="10" xfId="0" applyFont="1" applyFill="1" applyBorder="1" applyAlignment="1" applyProtection="1">
      <alignment horizontal="left" vertical="top" indent="2"/>
      <protection locked="0"/>
    </xf>
    <xf numFmtId="0" fontId="38" fillId="11" borderId="10" xfId="0" applyFont="1" applyFill="1" applyBorder="1" applyAlignment="1" applyProtection="1">
      <alignment horizontal="left" vertical="center" wrapText="1" indent="2"/>
      <protection locked="0"/>
    </xf>
    <xf numFmtId="0" fontId="9" fillId="3" borderId="1" xfId="0" applyFont="1" applyFill="1" applyBorder="1" applyAlignment="1">
      <alignment vertical="center"/>
    </xf>
    <xf numFmtId="0" fontId="9" fillId="3" borderId="2" xfId="0" applyFont="1" applyFill="1" applyBorder="1" applyAlignment="1">
      <alignment vertical="center"/>
    </xf>
    <xf numFmtId="0" fontId="9" fillId="3" borderId="3" xfId="0" applyFont="1" applyFill="1" applyBorder="1" applyAlignment="1">
      <alignment vertical="center"/>
    </xf>
    <xf numFmtId="0" fontId="28" fillId="0" borderId="4" xfId="0" applyFont="1" applyBorder="1" applyAlignment="1">
      <alignment horizontal="left" vertical="center" wrapText="1"/>
    </xf>
    <xf numFmtId="0" fontId="28" fillId="0" borderId="0" xfId="0" applyFont="1" applyAlignment="1">
      <alignment horizontal="left" vertical="center" wrapText="1"/>
    </xf>
    <xf numFmtId="0" fontId="28" fillId="0" borderId="5" xfId="0" applyFont="1" applyBorder="1" applyAlignment="1">
      <alignment horizontal="left" vertical="center" wrapText="1"/>
    </xf>
    <xf numFmtId="0" fontId="14" fillId="0" borderId="0" xfId="0" applyFont="1" applyAlignment="1">
      <alignment horizontal="right" vertical="center"/>
    </xf>
    <xf numFmtId="0" fontId="14" fillId="0" borderId="0" xfId="0" applyFont="1" applyAlignment="1">
      <alignment horizontal="right" vertical="center" wrapText="1"/>
    </xf>
    <xf numFmtId="0" fontId="38" fillId="3" borderId="0" xfId="0" applyFont="1" applyFill="1" applyAlignment="1">
      <alignment horizontal="left" vertical="center" wrapText="1"/>
    </xf>
    <xf numFmtId="0" fontId="38" fillId="0" borderId="0" xfId="0" applyFont="1" applyAlignment="1">
      <alignment horizontal="left" vertical="center" wrapText="1"/>
    </xf>
    <xf numFmtId="0" fontId="13" fillId="3" borderId="0" xfId="0" applyFont="1" applyFill="1" applyAlignment="1">
      <alignment horizontal="left" vertical="center"/>
    </xf>
    <xf numFmtId="0" fontId="14" fillId="3" borderId="0" xfId="0" applyFont="1" applyFill="1" applyAlignment="1">
      <alignment horizontal="left" vertical="center"/>
    </xf>
    <xf numFmtId="0" fontId="13" fillId="0" borderId="0" xfId="0" applyFont="1" applyAlignment="1">
      <alignment horizontal="left" vertical="center"/>
    </xf>
    <xf numFmtId="0" fontId="14" fillId="0" borderId="0" xfId="0" applyFont="1" applyAlignment="1">
      <alignment horizontal="center" vertical="top"/>
    </xf>
    <xf numFmtId="0" fontId="0" fillId="0" borderId="5" xfId="0" applyBorder="1" applyAlignment="1">
      <alignment vertical="top" wrapText="1"/>
    </xf>
    <xf numFmtId="0" fontId="38" fillId="0" borderId="0" xfId="0" applyFont="1" applyAlignment="1">
      <alignment horizontal="left" vertical="center" indent="2"/>
    </xf>
    <xf numFmtId="0" fontId="37" fillId="0" borderId="0" xfId="0" applyFont="1" applyAlignment="1">
      <alignment wrapText="1"/>
    </xf>
    <xf numFmtId="0" fontId="14" fillId="0" borderId="0" xfId="0" applyFont="1" applyAlignment="1">
      <alignment wrapText="1"/>
    </xf>
    <xf numFmtId="0" fontId="14" fillId="0" borderId="18" xfId="0" applyFont="1" applyBorder="1" applyAlignment="1">
      <alignment wrapText="1"/>
    </xf>
    <xf numFmtId="0" fontId="14" fillId="0" borderId="0" xfId="0" applyFont="1" applyAlignment="1">
      <alignment horizontal="center" vertical="top" wrapText="1"/>
    </xf>
    <xf numFmtId="0" fontId="13" fillId="0" borderId="13" xfId="0" applyFont="1" applyBorder="1" applyAlignment="1">
      <alignment vertical="center"/>
    </xf>
    <xf numFmtId="0" fontId="14" fillId="0" borderId="13" xfId="0" applyFont="1" applyBorder="1" applyAlignment="1">
      <alignment vertical="center"/>
    </xf>
    <xf numFmtId="0" fontId="14" fillId="0" borderId="13" xfId="0" applyFont="1" applyBorder="1" applyAlignment="1">
      <alignment vertical="center" wrapText="1"/>
    </xf>
    <xf numFmtId="0" fontId="14" fillId="0" borderId="31" xfId="0" applyFont="1" applyBorder="1" applyAlignment="1">
      <alignment vertical="center"/>
    </xf>
    <xf numFmtId="0" fontId="14" fillId="0" borderId="32" xfId="0" applyFont="1" applyBorder="1" applyAlignment="1">
      <alignment vertical="center" wrapText="1"/>
    </xf>
    <xf numFmtId="0" fontId="14" fillId="0" borderId="32" xfId="0" applyFont="1" applyBorder="1" applyAlignment="1">
      <alignment horizontal="left" vertical="center"/>
    </xf>
    <xf numFmtId="0" fontId="0" fillId="0" borderId="32" xfId="0" applyBorder="1"/>
    <xf numFmtId="0" fontId="0" fillId="0" borderId="33" xfId="0" applyBorder="1"/>
    <xf numFmtId="164" fontId="0" fillId="0" borderId="0" xfId="0" applyNumberFormat="1"/>
    <xf numFmtId="0" fontId="35" fillId="7" borderId="4" xfId="0" applyFont="1" applyFill="1" applyBorder="1" applyAlignment="1">
      <alignment horizontal="left" vertical="top"/>
    </xf>
    <xf numFmtId="0" fontId="35" fillId="7" borderId="0" xfId="0" applyFont="1" applyFill="1" applyAlignment="1">
      <alignment vertical="center" wrapText="1"/>
    </xf>
    <xf numFmtId="0" fontId="35" fillId="7" borderId="5" xfId="0" applyFont="1" applyFill="1" applyBorder="1" applyAlignment="1">
      <alignment vertical="center" wrapText="1"/>
    </xf>
    <xf numFmtId="0" fontId="5" fillId="0" borderId="29" xfId="0" applyFont="1" applyBorder="1" applyAlignment="1">
      <alignment horizontal="center" vertical="center" wrapText="1"/>
    </xf>
    <xf numFmtId="0" fontId="5" fillId="0" borderId="0" xfId="0" applyFont="1" applyAlignment="1">
      <alignment horizontal="center" vertical="center" wrapText="1"/>
    </xf>
    <xf numFmtId="0" fontId="5" fillId="0" borderId="5"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25" xfId="0" applyFont="1" applyBorder="1" applyAlignment="1">
      <alignment vertical="center" wrapText="1"/>
    </xf>
    <xf numFmtId="0" fontId="4" fillId="0" borderId="23" xfId="0" applyFont="1" applyBorder="1" applyAlignment="1">
      <alignment horizontal="center" vertical="center" wrapText="1"/>
    </xf>
    <xf numFmtId="0" fontId="4" fillId="0" borderId="10" xfId="0" applyFont="1" applyBorder="1" applyAlignment="1">
      <alignment horizontal="center" vertical="center" wrapText="1"/>
    </xf>
    <xf numFmtId="0" fontId="5" fillId="0" borderId="10" xfId="0" applyFont="1" applyBorder="1" applyAlignment="1">
      <alignment vertical="center" wrapText="1"/>
    </xf>
    <xf numFmtId="0" fontId="5" fillId="0" borderId="11" xfId="0" applyFont="1" applyBorder="1" applyAlignment="1">
      <alignment vertical="center" wrapText="1"/>
    </xf>
    <xf numFmtId="0" fontId="5" fillId="0" borderId="0" xfId="0" applyFont="1" applyAlignment="1">
      <alignment vertical="center" wrapText="1"/>
    </xf>
    <xf numFmtId="164" fontId="5" fillId="0" borderId="0" xfId="0" applyNumberFormat="1" applyFont="1" applyAlignment="1">
      <alignment vertical="center" wrapText="1"/>
    </xf>
    <xf numFmtId="164" fontId="5" fillId="0" borderId="5" xfId="0" applyNumberFormat="1" applyFont="1" applyBorder="1" applyAlignment="1">
      <alignment vertical="center" wrapText="1"/>
    </xf>
    <xf numFmtId="164" fontId="5" fillId="0" borderId="20" xfId="0" applyNumberFormat="1" applyFont="1" applyBorder="1" applyAlignment="1">
      <alignment vertical="center" wrapText="1"/>
    </xf>
    <xf numFmtId="164" fontId="5" fillId="0" borderId="23" xfId="0" applyNumberFormat="1" applyFont="1" applyBorder="1" applyAlignment="1">
      <alignment vertical="center" wrapText="1"/>
    </xf>
    <xf numFmtId="2" fontId="5" fillId="0" borderId="32" xfId="0" applyNumberFormat="1" applyFont="1" applyBorder="1" applyAlignment="1">
      <alignment horizontal="center" vertical="center" wrapText="1"/>
    </xf>
    <xf numFmtId="0" fontId="5" fillId="0" borderId="21" xfId="0" applyFont="1" applyBorder="1" applyAlignment="1">
      <alignment horizontal="center" vertical="center" wrapText="1"/>
    </xf>
    <xf numFmtId="0" fontId="5" fillId="0" borderId="21" xfId="0" applyFont="1" applyBorder="1" applyAlignment="1">
      <alignment horizontal="left" vertical="center" wrapText="1"/>
    </xf>
    <xf numFmtId="0" fontId="5" fillId="0" borderId="43" xfId="0" applyFont="1" applyBorder="1" applyAlignment="1">
      <alignment horizontal="center" vertical="center" wrapText="1"/>
    </xf>
    <xf numFmtId="164" fontId="5" fillId="0" borderId="0" xfId="0" applyNumberFormat="1" applyFont="1" applyAlignment="1">
      <alignment horizontal="left" vertical="center" wrapText="1"/>
    </xf>
    <xf numFmtId="165" fontId="5" fillId="0" borderId="0" xfId="0" applyNumberFormat="1" applyFont="1" applyAlignment="1">
      <alignment horizontal="left" vertical="center" wrapText="1"/>
    </xf>
    <xf numFmtId="1" fontId="5" fillId="0" borderId="5" xfId="0" applyNumberFormat="1" applyFont="1" applyBorder="1" applyAlignment="1">
      <alignment horizontal="left" vertical="center" wrapText="1"/>
    </xf>
    <xf numFmtId="0" fontId="5" fillId="0" borderId="0" xfId="0" applyFont="1" applyAlignment="1">
      <alignment horizontal="left" vertical="center" wrapText="1"/>
    </xf>
    <xf numFmtId="0" fontId="5" fillId="0" borderId="5"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2" fontId="5" fillId="0" borderId="0" xfId="0" applyNumberFormat="1" applyFont="1" applyAlignment="1">
      <alignment vertical="center" wrapText="1"/>
    </xf>
    <xf numFmtId="166" fontId="5" fillId="0" borderId="0" xfId="0" applyNumberFormat="1" applyFont="1" applyAlignment="1">
      <alignment vertical="center" wrapText="1"/>
    </xf>
    <xf numFmtId="0" fontId="14" fillId="0" borderId="17" xfId="0" applyFont="1" applyBorder="1" applyAlignment="1">
      <alignment vertical="center" wrapText="1"/>
    </xf>
    <xf numFmtId="0" fontId="14" fillId="0" borderId="18" xfId="0" applyFont="1" applyBorder="1" applyAlignment="1">
      <alignment vertical="center" wrapText="1"/>
    </xf>
    <xf numFmtId="0" fontId="46" fillId="0" borderId="6" xfId="0" applyFont="1" applyBorder="1" applyAlignment="1">
      <alignment wrapText="1"/>
    </xf>
    <xf numFmtId="0" fontId="46" fillId="0" borderId="36" xfId="0" applyFont="1" applyBorder="1" applyAlignment="1">
      <alignment vertical="center" wrapText="1"/>
    </xf>
    <xf numFmtId="0" fontId="9" fillId="3" borderId="6" xfId="0" applyFont="1" applyFill="1" applyBorder="1" applyAlignment="1">
      <alignment vertical="center" wrapText="1"/>
    </xf>
    <xf numFmtId="0" fontId="46" fillId="0" borderId="4" xfId="0" applyFont="1" applyBorder="1" applyAlignment="1">
      <alignment wrapText="1"/>
    </xf>
    <xf numFmtId="0" fontId="46" fillId="0" borderId="27" xfId="0" applyFont="1" applyBorder="1" applyAlignment="1">
      <alignment vertical="center" wrapText="1"/>
    </xf>
    <xf numFmtId="0" fontId="9" fillId="3" borderId="4" xfId="0" applyFont="1" applyFill="1" applyBorder="1" applyAlignment="1">
      <alignment vertical="center" wrapText="1"/>
    </xf>
    <xf numFmtId="0" fontId="0" fillId="0" borderId="27" xfId="0" applyBorder="1" applyAlignment="1">
      <alignment wrapText="1"/>
    </xf>
    <xf numFmtId="0" fontId="47" fillId="0" borderId="18" xfId="0" applyFont="1" applyBorder="1" applyAlignment="1">
      <alignment wrapText="1"/>
    </xf>
    <xf numFmtId="0" fontId="46" fillId="0" borderId="19" xfId="0" applyFont="1" applyBorder="1" applyAlignment="1">
      <alignment vertical="center" wrapText="1"/>
    </xf>
    <xf numFmtId="0" fontId="9" fillId="3" borderId="17" xfId="0" applyFont="1" applyFill="1" applyBorder="1" applyAlignment="1">
      <alignment vertical="center" wrapText="1"/>
    </xf>
    <xf numFmtId="0" fontId="46" fillId="0" borderId="5" xfId="0" applyFont="1" applyBorder="1" applyAlignment="1">
      <alignment vertical="center" wrapText="1"/>
    </xf>
    <xf numFmtId="0" fontId="0" fillId="0" borderId="0" xfId="0" applyAlignment="1">
      <alignment horizontal="center" vertical="top" wrapText="1"/>
    </xf>
    <xf numFmtId="0" fontId="10" fillId="5" borderId="8" xfId="0" applyFont="1" applyFill="1" applyBorder="1" applyAlignment="1">
      <alignment vertical="center" wrapText="1"/>
    </xf>
    <xf numFmtId="0" fontId="10" fillId="5" borderId="11" xfId="0" applyFont="1" applyFill="1" applyBorder="1" applyAlignment="1">
      <alignment vertical="center" wrapText="1"/>
    </xf>
    <xf numFmtId="0" fontId="14" fillId="0" borderId="12" xfId="0" applyFont="1" applyBorder="1" applyAlignment="1">
      <alignment horizontal="center" vertical="center" wrapText="1"/>
    </xf>
    <xf numFmtId="0" fontId="0" fillId="0" borderId="37" xfId="0" applyBorder="1" applyAlignment="1">
      <alignment wrapText="1"/>
    </xf>
    <xf numFmtId="0" fontId="0" fillId="0" borderId="21" xfId="0" applyBorder="1" applyAlignment="1">
      <alignment wrapText="1"/>
    </xf>
    <xf numFmtId="1" fontId="0" fillId="0" borderId="5" xfId="0" applyNumberFormat="1" applyBorder="1" applyAlignment="1">
      <alignment horizontal="center" wrapText="1"/>
    </xf>
    <xf numFmtId="0" fontId="10" fillId="5" borderId="4" xfId="0" applyFont="1" applyFill="1" applyBorder="1" applyAlignment="1">
      <alignment vertical="center" wrapText="1"/>
    </xf>
    <xf numFmtId="0" fontId="10" fillId="5" borderId="0" xfId="0" applyFont="1" applyFill="1" applyAlignment="1">
      <alignment vertical="center" wrapText="1"/>
    </xf>
    <xf numFmtId="0" fontId="10" fillId="0" borderId="0" xfId="0" applyFont="1" applyAlignment="1">
      <alignment vertical="center" wrapText="1"/>
    </xf>
    <xf numFmtId="0" fontId="10" fillId="0" borderId="5" xfId="0" applyFont="1" applyBorder="1" applyAlignment="1">
      <alignment vertical="center" wrapText="1"/>
    </xf>
    <xf numFmtId="0" fontId="14" fillId="0" borderId="12" xfId="0" applyFont="1" applyBorder="1" applyAlignment="1">
      <alignment horizontal="left" vertical="center" wrapText="1"/>
    </xf>
    <xf numFmtId="0" fontId="0" fillId="0" borderId="4" xfId="0" applyBorder="1" applyAlignment="1">
      <alignment horizontal="center" wrapText="1"/>
    </xf>
    <xf numFmtId="0" fontId="0" fillId="0" borderId="17" xfId="0" applyBorder="1" applyAlignment="1">
      <alignment horizontal="center" wrapText="1"/>
    </xf>
    <xf numFmtId="0" fontId="0" fillId="0" borderId="18" xfId="0" applyBorder="1" applyAlignment="1">
      <alignment horizontal="center" wrapText="1"/>
    </xf>
    <xf numFmtId="1" fontId="0" fillId="0" borderId="19" xfId="0" applyNumberFormat="1" applyBorder="1" applyAlignment="1">
      <alignment horizontal="center" wrapText="1"/>
    </xf>
    <xf numFmtId="0" fontId="0" fillId="0" borderId="5" xfId="0" applyBorder="1" applyAlignment="1">
      <alignment wrapText="1"/>
    </xf>
    <xf numFmtId="0" fontId="1" fillId="0" borderId="0" xfId="0" applyFont="1" applyAlignment="1">
      <alignment horizontal="center" wrapText="1"/>
    </xf>
    <xf numFmtId="0" fontId="0" fillId="0" borderId="17" xfId="0" applyBorder="1"/>
    <xf numFmtId="0" fontId="14" fillId="11" borderId="12" xfId="0" applyFont="1" applyFill="1" applyBorder="1" applyAlignment="1" applyProtection="1">
      <alignment horizontal="left" vertical="center" wrapText="1"/>
      <protection locked="0"/>
    </xf>
    <xf numFmtId="0" fontId="14" fillId="11" borderId="13" xfId="0" applyFont="1" applyFill="1" applyBorder="1" applyAlignment="1" applyProtection="1">
      <alignment horizontal="center" vertical="center" wrapText="1"/>
      <protection locked="0"/>
    </xf>
    <xf numFmtId="164" fontId="14" fillId="11" borderId="13" xfId="0" applyNumberFormat="1" applyFont="1" applyFill="1" applyBorder="1" applyAlignment="1" applyProtection="1">
      <alignment horizontal="center" vertical="center" wrapText="1"/>
      <protection locked="0"/>
    </xf>
    <xf numFmtId="165" fontId="14" fillId="11" borderId="13" xfId="0" applyNumberFormat="1" applyFont="1" applyFill="1" applyBorder="1" applyAlignment="1" applyProtection="1">
      <alignment horizontal="center" vertical="center" wrapText="1"/>
      <protection locked="0"/>
    </xf>
    <xf numFmtId="167" fontId="14" fillId="11" borderId="13" xfId="0" applyNumberFormat="1" applyFont="1" applyFill="1" applyBorder="1" applyAlignment="1" applyProtection="1">
      <alignment horizontal="center" vertical="center" wrapText="1"/>
      <protection locked="0"/>
    </xf>
    <xf numFmtId="0" fontId="14" fillId="11" borderId="13" xfId="0" applyFont="1" applyFill="1" applyBorder="1" applyAlignment="1" applyProtection="1">
      <alignment horizontal="center"/>
      <protection locked="0"/>
    </xf>
    <xf numFmtId="0" fontId="5" fillId="11" borderId="13" xfId="0" applyFont="1" applyFill="1" applyBorder="1" applyAlignment="1" applyProtection="1">
      <alignment horizontal="center" vertical="center" wrapText="1"/>
      <protection locked="0"/>
    </xf>
    <xf numFmtId="0" fontId="5" fillId="11" borderId="13" xfId="0" applyFont="1" applyFill="1" applyBorder="1" applyAlignment="1" applyProtection="1">
      <alignment horizontal="center"/>
      <protection locked="0"/>
    </xf>
    <xf numFmtId="0" fontId="0" fillId="0" borderId="4" xfId="0" applyBorder="1" applyProtection="1">
      <protection locked="0"/>
    </xf>
    <xf numFmtId="0" fontId="0" fillId="0" borderId="0" xfId="0" applyProtection="1">
      <protection locked="0"/>
    </xf>
    <xf numFmtId="0" fontId="0" fillId="0" borderId="5" xfId="0" applyBorder="1" applyProtection="1">
      <protection locked="0"/>
    </xf>
    <xf numFmtId="0" fontId="0" fillId="0" borderId="17" xfId="0" applyBorder="1" applyProtection="1">
      <protection locked="0"/>
    </xf>
    <xf numFmtId="0" fontId="0" fillId="0" borderId="18" xfId="0" applyBorder="1" applyProtection="1">
      <protection locked="0"/>
    </xf>
    <xf numFmtId="0" fontId="0" fillId="0" borderId="19" xfId="0" applyBorder="1" applyProtection="1">
      <protection locked="0"/>
    </xf>
    <xf numFmtId="2" fontId="5" fillId="12" borderId="0" xfId="0" applyNumberFormat="1" applyFont="1" applyFill="1" applyAlignment="1" applyProtection="1">
      <alignment horizontal="center" vertical="center" wrapText="1"/>
      <protection locked="0"/>
    </xf>
    <xf numFmtId="0" fontId="46" fillId="3" borderId="6" xfId="0" applyFont="1" applyFill="1" applyBorder="1"/>
    <xf numFmtId="0" fontId="4" fillId="3" borderId="7" xfId="0" applyFont="1" applyFill="1" applyBorder="1"/>
    <xf numFmtId="0" fontId="47" fillId="3" borderId="35" xfId="0" applyFont="1" applyFill="1" applyBorder="1"/>
    <xf numFmtId="0" fontId="46" fillId="3" borderId="36" xfId="0" applyFont="1" applyFill="1" applyBorder="1" applyAlignment="1">
      <alignment vertical="center" wrapText="1"/>
    </xf>
    <xf numFmtId="0" fontId="18" fillId="3" borderId="34" xfId="0" applyFont="1" applyFill="1" applyBorder="1" applyAlignment="1">
      <alignment vertical="center" wrapText="1"/>
    </xf>
    <xf numFmtId="0" fontId="18" fillId="3" borderId="36" xfId="0" applyFont="1" applyFill="1" applyBorder="1" applyAlignment="1">
      <alignment vertical="center" wrapText="1"/>
    </xf>
    <xf numFmtId="0" fontId="4" fillId="0" borderId="0" xfId="0" applyFont="1" applyAlignment="1">
      <alignment wrapText="1"/>
    </xf>
    <xf numFmtId="0" fontId="46" fillId="3" borderId="4" xfId="0" applyFont="1" applyFill="1" applyBorder="1"/>
    <xf numFmtId="0" fontId="4" fillId="3" borderId="0" xfId="0" applyFont="1" applyFill="1"/>
    <xf numFmtId="0" fontId="47" fillId="3" borderId="10" xfId="0" applyFont="1" applyFill="1" applyBorder="1"/>
    <xf numFmtId="0" fontId="46" fillId="3" borderId="32" xfId="0" applyFont="1" applyFill="1" applyBorder="1" applyAlignment="1">
      <alignment vertical="center" wrapText="1"/>
    </xf>
    <xf numFmtId="0" fontId="18" fillId="3" borderId="32" xfId="0" applyFont="1" applyFill="1" applyBorder="1" applyAlignment="1">
      <alignment horizontal="center" vertical="center" wrapText="1"/>
    </xf>
    <xf numFmtId="0" fontId="18" fillId="3" borderId="27" xfId="0" applyFont="1" applyFill="1" applyBorder="1" applyAlignment="1">
      <alignment horizontal="center" vertical="center" wrapText="1"/>
    </xf>
    <xf numFmtId="0" fontId="22" fillId="3" borderId="4" xfId="0" applyFont="1" applyFill="1" applyBorder="1" applyAlignment="1">
      <alignment horizontal="center" vertical="center" wrapText="1"/>
    </xf>
    <xf numFmtId="0" fontId="22" fillId="3" borderId="0" xfId="0" applyFont="1" applyFill="1" applyAlignment="1">
      <alignment horizontal="center" vertical="center" wrapText="1"/>
    </xf>
    <xf numFmtId="0" fontId="22" fillId="3" borderId="5" xfId="0" applyFont="1" applyFill="1" applyBorder="1" applyAlignment="1">
      <alignment horizontal="center" vertical="center" wrapText="1"/>
    </xf>
    <xf numFmtId="0" fontId="47" fillId="3" borderId="32" xfId="0" applyFont="1" applyFill="1" applyBorder="1"/>
    <xf numFmtId="14" fontId="47" fillId="3" borderId="32" xfId="0" applyNumberFormat="1" applyFont="1" applyFill="1" applyBorder="1" applyAlignment="1">
      <alignment horizontal="left"/>
    </xf>
    <xf numFmtId="0" fontId="0" fillId="3" borderId="32" xfId="0" applyFill="1" applyBorder="1" applyAlignment="1">
      <alignment wrapText="1"/>
    </xf>
    <xf numFmtId="0" fontId="18" fillId="3" borderId="18" xfId="0" applyFont="1" applyFill="1" applyBorder="1" applyAlignment="1">
      <alignment horizontal="center" vertical="center" wrapText="1"/>
    </xf>
    <xf numFmtId="0" fontId="18" fillId="3" borderId="19" xfId="0" applyFont="1" applyFill="1" applyBorder="1" applyAlignment="1">
      <alignment horizontal="center" vertical="center" wrapText="1"/>
    </xf>
    <xf numFmtId="0" fontId="22" fillId="3" borderId="17" xfId="0" applyFont="1" applyFill="1" applyBorder="1" applyAlignment="1">
      <alignment horizontal="center" vertical="center" wrapText="1"/>
    </xf>
    <xf numFmtId="0" fontId="22" fillId="3" borderId="18" xfId="0" applyFont="1" applyFill="1" applyBorder="1" applyAlignment="1">
      <alignment horizontal="center" vertical="center" wrapText="1"/>
    </xf>
    <xf numFmtId="0" fontId="22" fillId="3" borderId="19" xfId="0" applyFont="1" applyFill="1" applyBorder="1" applyAlignment="1">
      <alignment horizontal="center" vertical="center" wrapText="1"/>
    </xf>
    <xf numFmtId="0" fontId="5" fillId="0" borderId="40"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2" fontId="5" fillId="9" borderId="25" xfId="0" applyNumberFormat="1" applyFont="1" applyFill="1" applyBorder="1" applyAlignment="1">
      <alignment horizontal="center" vertical="center" wrapText="1"/>
    </xf>
    <xf numFmtId="0" fontId="5" fillId="0" borderId="32" xfId="0" applyFont="1" applyBorder="1" applyAlignment="1">
      <alignment vertical="center" wrapText="1"/>
    </xf>
    <xf numFmtId="0" fontId="4" fillId="0" borderId="0" xfId="0" applyFont="1"/>
    <xf numFmtId="0" fontId="4" fillId="0" borderId="0" xfId="0" applyFont="1" applyAlignment="1">
      <alignment horizontal="center"/>
    </xf>
    <xf numFmtId="164" fontId="5" fillId="9" borderId="25" xfId="0" applyNumberFormat="1" applyFont="1" applyFill="1" applyBorder="1" applyAlignment="1">
      <alignment horizontal="center" vertical="center" wrapText="1"/>
    </xf>
    <xf numFmtId="164" fontId="5" fillId="9" borderId="42" xfId="0" applyNumberFormat="1" applyFont="1" applyFill="1" applyBorder="1" applyAlignment="1">
      <alignment horizontal="center" vertical="center" wrapText="1"/>
    </xf>
    <xf numFmtId="164" fontId="5" fillId="0" borderId="44" xfId="0" applyNumberFormat="1" applyFont="1" applyBorder="1" applyAlignment="1">
      <alignment vertical="center" wrapText="1"/>
    </xf>
    <xf numFmtId="164" fontId="5" fillId="0" borderId="35" xfId="0" applyNumberFormat="1" applyFont="1" applyBorder="1" applyAlignment="1">
      <alignment vertical="center" wrapText="1"/>
    </xf>
    <xf numFmtId="164" fontId="5" fillId="0" borderId="36" xfId="0" applyNumberFormat="1" applyFont="1" applyBorder="1" applyAlignment="1">
      <alignment vertical="center" wrapText="1"/>
    </xf>
    <xf numFmtId="0" fontId="5" fillId="0" borderId="25" xfId="0" applyFont="1" applyBorder="1" applyAlignment="1">
      <alignment horizontal="center" vertical="center" wrapText="1"/>
    </xf>
    <xf numFmtId="1" fontId="5" fillId="9" borderId="25" xfId="0" applyNumberFormat="1" applyFont="1" applyFill="1" applyBorder="1" applyAlignment="1">
      <alignment horizontal="center" vertical="center" wrapText="1"/>
    </xf>
    <xf numFmtId="1" fontId="5" fillId="9" borderId="42" xfId="0" applyNumberFormat="1" applyFont="1" applyFill="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164" fontId="5" fillId="0" borderId="0" xfId="0" applyNumberFormat="1" applyFont="1" applyAlignment="1">
      <alignment horizontal="center" vertical="center" wrapText="1"/>
    </xf>
    <xf numFmtId="165" fontId="5" fillId="0" borderId="0" xfId="0" applyNumberFormat="1" applyFont="1" applyAlignment="1">
      <alignment horizontal="center" vertical="center" wrapText="1"/>
    </xf>
    <xf numFmtId="1" fontId="5" fillId="0" borderId="5" xfId="0" applyNumberFormat="1" applyFont="1" applyBorder="1" applyAlignment="1">
      <alignment horizontal="center" vertical="center" wrapText="1"/>
    </xf>
    <xf numFmtId="0" fontId="5" fillId="0" borderId="44" xfId="0" applyFont="1" applyBorder="1" applyAlignment="1">
      <alignment vertical="center" wrapText="1"/>
    </xf>
    <xf numFmtId="0" fontId="5" fillId="0" borderId="35" xfId="0" applyFont="1" applyBorder="1" applyAlignment="1">
      <alignment vertical="center" wrapText="1"/>
    </xf>
    <xf numFmtId="0" fontId="5" fillId="0" borderId="36" xfId="0" applyFont="1" applyBorder="1" applyAlignment="1">
      <alignment vertical="center" wrapText="1"/>
    </xf>
    <xf numFmtId="0" fontId="5" fillId="0" borderId="4" xfId="0" applyFont="1" applyBorder="1" applyAlignment="1">
      <alignment vertical="center" wrapText="1"/>
    </xf>
    <xf numFmtId="0" fontId="5" fillId="0" borderId="17" xfId="0" applyFont="1" applyBorder="1"/>
    <xf numFmtId="0" fontId="5" fillId="0" borderId="18" xfId="0" applyFont="1" applyBorder="1"/>
    <xf numFmtId="0" fontId="5" fillId="0" borderId="40"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horizontal="center" vertical="center" wrapText="1"/>
    </xf>
    <xf numFmtId="0" fontId="5" fillId="0" borderId="5" xfId="0" applyFont="1" applyBorder="1" applyAlignment="1">
      <alignment vertical="center" wrapText="1"/>
    </xf>
    <xf numFmtId="0" fontId="4" fillId="0" borderId="40"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0" xfId="0" applyFont="1" applyAlignment="1">
      <alignment vertical="top" wrapText="1"/>
    </xf>
    <xf numFmtId="0" fontId="4" fillId="0" borderId="0" xfId="0" applyFont="1" applyAlignment="1">
      <alignment vertical="center" wrapText="1"/>
    </xf>
    <xf numFmtId="0" fontId="4" fillId="0" borderId="5" xfId="0" applyFont="1" applyBorder="1" applyAlignment="1">
      <alignment vertical="center" wrapText="1"/>
    </xf>
    <xf numFmtId="0" fontId="5" fillId="0" borderId="17" xfId="0" applyFont="1" applyBorder="1" applyAlignment="1">
      <alignment vertical="center" wrapText="1"/>
    </xf>
    <xf numFmtId="0" fontId="5" fillId="0" borderId="18" xfId="0" applyFont="1" applyBorder="1" applyAlignment="1">
      <alignment vertical="center" wrapText="1"/>
    </xf>
    <xf numFmtId="0" fontId="5" fillId="0" borderId="19" xfId="0" applyFont="1" applyBorder="1" applyAlignment="1">
      <alignment vertical="center" wrapText="1"/>
    </xf>
    <xf numFmtId="0" fontId="5" fillId="0" borderId="0" xfId="0" applyFont="1"/>
    <xf numFmtId="0" fontId="22" fillId="0" borderId="4" xfId="0" applyFont="1" applyBorder="1" applyAlignment="1">
      <alignment horizontal="center" vertical="center" wrapText="1"/>
    </xf>
    <xf numFmtId="0" fontId="22" fillId="0" borderId="0" xfId="0" applyFont="1" applyAlignment="1">
      <alignment horizontal="center" vertical="center" wrapText="1"/>
    </xf>
    <xf numFmtId="0" fontId="21" fillId="0" borderId="0" xfId="0" applyFont="1" applyAlignment="1">
      <alignment horizontal="center" vertical="center" wrapText="1"/>
    </xf>
    <xf numFmtId="0" fontId="21" fillId="0" borderId="5" xfId="0" applyFont="1" applyBorder="1" applyAlignment="1">
      <alignment horizontal="center" vertical="center" wrapText="1"/>
    </xf>
    <xf numFmtId="0" fontId="5" fillId="0" borderId="4" xfId="0" applyFont="1" applyBorder="1" applyAlignment="1">
      <alignment horizontal="center" wrapText="1"/>
    </xf>
    <xf numFmtId="0" fontId="5" fillId="0" borderId="0" xfId="0" applyFont="1" applyAlignment="1">
      <alignment horizontal="center" wrapText="1"/>
    </xf>
    <xf numFmtId="164" fontId="5" fillId="0" borderId="0" xfId="0" applyNumberFormat="1" applyFont="1" applyAlignment="1">
      <alignment horizontal="center" wrapText="1"/>
    </xf>
    <xf numFmtId="165" fontId="5" fillId="0" borderId="0" xfId="0" applyNumberFormat="1" applyFont="1" applyAlignment="1">
      <alignment horizontal="center" wrapText="1"/>
    </xf>
    <xf numFmtId="1" fontId="5" fillId="0" borderId="5" xfId="0" applyNumberFormat="1" applyFont="1" applyBorder="1" applyAlignment="1">
      <alignment horizontal="center" wrapText="1"/>
    </xf>
    <xf numFmtId="0" fontId="5" fillId="0" borderId="4" xfId="0" applyFont="1" applyBorder="1"/>
    <xf numFmtId="0" fontId="5" fillId="0" borderId="0" xfId="0" applyFont="1" applyAlignment="1">
      <alignment wrapText="1"/>
    </xf>
    <xf numFmtId="0" fontId="5" fillId="0" borderId="5" xfId="0" applyFont="1" applyBorder="1" applyAlignment="1">
      <alignment wrapText="1"/>
    </xf>
    <xf numFmtId="0" fontId="4" fillId="0" borderId="0" xfId="0" applyFont="1" applyAlignment="1">
      <alignment horizontal="left" vertical="center" wrapText="1"/>
    </xf>
    <xf numFmtId="0" fontId="5" fillId="0" borderId="4" xfId="0" applyFont="1" applyBorder="1" applyAlignment="1">
      <alignment vertical="top" wrapText="1"/>
    </xf>
    <xf numFmtId="0" fontId="5" fillId="0" borderId="0" xfId="0" applyFont="1" applyAlignment="1">
      <alignment vertical="top" wrapText="1"/>
    </xf>
    <xf numFmtId="0" fontId="5" fillId="0" borderId="5" xfId="0" applyFont="1" applyBorder="1" applyAlignment="1">
      <alignment vertical="top" wrapText="1"/>
    </xf>
    <xf numFmtId="0" fontId="5" fillId="0" borderId="5" xfId="0" applyFont="1" applyBorder="1"/>
    <xf numFmtId="0" fontId="5" fillId="0" borderId="19" xfId="0" applyFont="1" applyBorder="1"/>
    <xf numFmtId="0" fontId="10" fillId="5" borderId="34" xfId="0" applyFont="1" applyFill="1" applyBorder="1" applyAlignment="1">
      <alignment horizontal="left" vertical="center" wrapText="1"/>
    </xf>
    <xf numFmtId="0" fontId="10" fillId="5" borderId="35" xfId="0" applyFont="1" applyFill="1" applyBorder="1" applyAlignment="1">
      <alignment horizontal="left" vertical="center" wrapText="1"/>
    </xf>
    <xf numFmtId="0" fontId="10" fillId="5" borderId="36" xfId="0" applyFont="1" applyFill="1" applyBorder="1" applyAlignment="1">
      <alignment horizontal="left" vertical="center" wrapText="1"/>
    </xf>
    <xf numFmtId="0" fontId="14" fillId="0" borderId="37" xfId="0" applyFont="1" applyBorder="1" applyAlignment="1">
      <alignment horizontal="left" vertical="center" wrapText="1"/>
    </xf>
    <xf numFmtId="0" fontId="14" fillId="0" borderId="21" xfId="0" applyFont="1" applyBorder="1" applyAlignment="1">
      <alignment horizontal="left" vertical="center" wrapText="1"/>
    </xf>
    <xf numFmtId="0" fontId="14" fillId="0" borderId="26" xfId="0" applyFont="1" applyBorder="1" applyAlignment="1">
      <alignment horizontal="left" vertical="center" wrapText="1"/>
    </xf>
    <xf numFmtId="0" fontId="14" fillId="0" borderId="4" xfId="0" applyFont="1" applyBorder="1" applyAlignment="1">
      <alignment horizontal="left" vertical="center" wrapText="1"/>
    </xf>
    <xf numFmtId="0" fontId="14" fillId="0" borderId="0" xfId="0" applyFont="1" applyAlignment="1">
      <alignment horizontal="left" vertical="center" wrapText="1"/>
    </xf>
    <xf numFmtId="0" fontId="14" fillId="0" borderId="5" xfId="0" applyFont="1" applyBorder="1" applyAlignment="1">
      <alignment horizontal="left" vertical="center" wrapText="1"/>
    </xf>
    <xf numFmtId="0" fontId="14" fillId="0" borderId="17" xfId="0" applyFont="1" applyBorder="1" applyAlignment="1">
      <alignment horizontal="left" vertical="center" wrapText="1"/>
    </xf>
    <xf numFmtId="0" fontId="14" fillId="0" borderId="18" xfId="0" applyFont="1" applyBorder="1" applyAlignment="1">
      <alignment horizontal="left" vertical="center" wrapText="1"/>
    </xf>
    <xf numFmtId="0" fontId="14" fillId="0" borderId="19" xfId="0" applyFont="1" applyBorder="1" applyAlignment="1">
      <alignment horizontal="left"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0" xfId="0" applyFont="1" applyAlignment="1">
      <alignment horizontal="center" vertical="center" wrapText="1"/>
    </xf>
    <xf numFmtId="0" fontId="13" fillId="0" borderId="5"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19" xfId="0" applyFont="1" applyBorder="1" applyAlignment="1">
      <alignment horizontal="center" vertical="center" wrapText="1"/>
    </xf>
    <xf numFmtId="0" fontId="14" fillId="0" borderId="21" xfId="0" applyFont="1" applyBorder="1" applyAlignment="1">
      <alignment horizontal="left" vertical="center"/>
    </xf>
    <xf numFmtId="0" fontId="14" fillId="0" borderId="26" xfId="0" applyFont="1" applyBorder="1" applyAlignment="1">
      <alignment horizontal="left" vertical="center"/>
    </xf>
    <xf numFmtId="0" fontId="14" fillId="0" borderId="0" xfId="0" applyFont="1" applyAlignment="1">
      <alignment horizontal="left" vertical="center"/>
    </xf>
    <xf numFmtId="0" fontId="14" fillId="0" borderId="5" xfId="0" applyFont="1" applyBorder="1" applyAlignment="1">
      <alignment horizontal="left" vertical="center"/>
    </xf>
    <xf numFmtId="0" fontId="14" fillId="0" borderId="17" xfId="0" applyFont="1" applyBorder="1" applyAlignment="1">
      <alignment horizontal="left" vertical="center"/>
    </xf>
    <xf numFmtId="0" fontId="14" fillId="0" borderId="18" xfId="0" applyFont="1" applyBorder="1" applyAlignment="1">
      <alignment horizontal="left" vertical="center"/>
    </xf>
    <xf numFmtId="0" fontId="14" fillId="0" borderId="19" xfId="0" applyFont="1" applyBorder="1" applyAlignment="1">
      <alignment horizontal="left" vertical="center"/>
    </xf>
    <xf numFmtId="0" fontId="14" fillId="0" borderId="4" xfId="0" applyFont="1" applyBorder="1" applyAlignment="1">
      <alignment horizontal="left" vertical="center"/>
    </xf>
    <xf numFmtId="0" fontId="17" fillId="6" borderId="34" xfId="0" applyFont="1" applyFill="1" applyBorder="1" applyAlignment="1">
      <alignment horizontal="left" vertical="center" wrapText="1"/>
    </xf>
    <xf numFmtId="0" fontId="17" fillId="6" borderId="35" xfId="0" applyFont="1" applyFill="1" applyBorder="1" applyAlignment="1">
      <alignment horizontal="left" vertical="center" wrapText="1"/>
    </xf>
    <xf numFmtId="0" fontId="17" fillId="6" borderId="36" xfId="0" applyFont="1" applyFill="1" applyBorder="1" applyAlignment="1">
      <alignment horizontal="left" vertical="center" wrapText="1"/>
    </xf>
    <xf numFmtId="14" fontId="38" fillId="11" borderId="32" xfId="0" applyNumberFormat="1" applyFont="1" applyFill="1" applyBorder="1" applyAlignment="1" applyProtection="1">
      <alignment horizontal="left" vertical="center" wrapText="1" indent="2"/>
      <protection locked="0"/>
    </xf>
    <xf numFmtId="0" fontId="28" fillId="4" borderId="4" xfId="0" applyFont="1" applyFill="1" applyBorder="1" applyAlignment="1">
      <alignment horizontal="left" vertical="center" wrapText="1"/>
    </xf>
    <xf numFmtId="0" fontId="28" fillId="4" borderId="0" xfId="0" applyFont="1" applyFill="1" applyAlignment="1">
      <alignment horizontal="left" vertical="center" wrapText="1"/>
    </xf>
    <xf numFmtId="0" fontId="28" fillId="4" borderId="5" xfId="0" applyFont="1" applyFill="1" applyBorder="1" applyAlignment="1">
      <alignment horizontal="left" vertical="center" wrapText="1"/>
    </xf>
    <xf numFmtId="0" fontId="5" fillId="0" borderId="31" xfId="0" applyFont="1" applyBorder="1" applyAlignment="1">
      <alignment horizontal="left" vertical="center"/>
    </xf>
    <xf numFmtId="0" fontId="5" fillId="0" borderId="32" xfId="0" applyFont="1" applyBorder="1" applyAlignment="1">
      <alignment horizontal="left" vertical="center"/>
    </xf>
    <xf numFmtId="0" fontId="5" fillId="0" borderId="33" xfId="0" applyFont="1" applyBorder="1" applyAlignment="1">
      <alignment horizontal="left" vertical="center"/>
    </xf>
    <xf numFmtId="2" fontId="5" fillId="8" borderId="23" xfId="0" applyNumberFormat="1" applyFont="1" applyFill="1" applyBorder="1" applyAlignment="1" applyProtection="1">
      <alignment horizontal="center" vertical="center" wrapText="1"/>
      <protection locked="0"/>
    </xf>
    <xf numFmtId="2" fontId="5" fillId="8" borderId="24" xfId="0" applyNumberFormat="1" applyFont="1" applyFill="1" applyBorder="1" applyAlignment="1" applyProtection="1">
      <alignment horizontal="center" vertical="center" wrapText="1"/>
      <protection locked="0"/>
    </xf>
    <xf numFmtId="2" fontId="5" fillId="8" borderId="25" xfId="0" applyNumberFormat="1" applyFont="1" applyFill="1" applyBorder="1" applyAlignment="1" applyProtection="1">
      <alignment horizontal="center" vertical="center" wrapText="1"/>
      <protection locked="0"/>
    </xf>
    <xf numFmtId="2" fontId="5" fillId="8" borderId="33" xfId="0" applyNumberFormat="1" applyFont="1" applyFill="1" applyBorder="1" applyAlignment="1" applyProtection="1">
      <alignment horizontal="center" vertical="center" wrapText="1"/>
      <protection locked="0"/>
    </xf>
    <xf numFmtId="2" fontId="5" fillId="9" borderId="25" xfId="0" applyNumberFormat="1" applyFont="1" applyFill="1" applyBorder="1" applyAlignment="1">
      <alignment horizontal="center" vertical="center" wrapText="1"/>
    </xf>
    <xf numFmtId="2" fontId="5" fillId="9" borderId="33" xfId="0" applyNumberFormat="1" applyFont="1" applyFill="1" applyBorder="1" applyAlignment="1">
      <alignment horizontal="center" vertical="center" wrapText="1"/>
    </xf>
    <xf numFmtId="164" fontId="5" fillId="9" borderId="25" xfId="0" applyNumberFormat="1" applyFont="1" applyFill="1" applyBorder="1" applyAlignment="1">
      <alignment horizontal="center" vertical="center" wrapText="1"/>
    </xf>
    <xf numFmtId="164" fontId="5" fillId="9" borderId="33" xfId="0" applyNumberFormat="1" applyFont="1" applyFill="1" applyBorder="1" applyAlignment="1">
      <alignment horizontal="center" vertical="center" wrapText="1"/>
    </xf>
    <xf numFmtId="164" fontId="5" fillId="8" borderId="25" xfId="0" applyNumberFormat="1" applyFont="1" applyFill="1" applyBorder="1" applyAlignment="1" applyProtection="1">
      <alignment horizontal="center" vertical="center" wrapText="1"/>
      <protection locked="0"/>
    </xf>
    <xf numFmtId="164" fontId="5" fillId="8" borderId="33" xfId="0" applyNumberFormat="1" applyFont="1" applyFill="1" applyBorder="1" applyAlignment="1" applyProtection="1">
      <alignment horizontal="center" vertical="center" wrapText="1"/>
      <protection locked="0"/>
    </xf>
    <xf numFmtId="0" fontId="5" fillId="0" borderId="21" xfId="0" applyFont="1" applyBorder="1" applyAlignment="1">
      <alignment horizontal="left" vertical="center" wrapText="1"/>
    </xf>
    <xf numFmtId="0" fontId="5" fillId="0" borderId="26" xfId="0" applyFont="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4" xfId="0" applyFont="1" applyBorder="1" applyAlignment="1">
      <alignment horizontal="left" vertical="center" wrapText="1"/>
    </xf>
    <xf numFmtId="0" fontId="5" fillId="0" borderId="0" xfId="0" applyFont="1" applyAlignment="1">
      <alignment horizontal="left" vertical="center" wrapText="1"/>
    </xf>
    <xf numFmtId="0" fontId="5" fillId="8" borderId="29" xfId="0" applyFont="1" applyFill="1" applyBorder="1" applyAlignment="1" applyProtection="1">
      <alignment horizontal="center" vertical="center" wrapText="1"/>
      <protection locked="0"/>
    </xf>
    <xf numFmtId="0" fontId="5" fillId="8" borderId="51" xfId="0" applyFont="1" applyFill="1" applyBorder="1" applyAlignment="1" applyProtection="1">
      <alignment horizontal="center" vertical="center" wrapText="1"/>
      <protection locked="0"/>
    </xf>
    <xf numFmtId="0" fontId="5" fillId="8" borderId="43" xfId="0" applyFont="1" applyFill="1" applyBorder="1" applyAlignment="1" applyProtection="1">
      <alignment horizontal="center" vertical="center" wrapText="1"/>
      <protection locked="0"/>
    </xf>
    <xf numFmtId="0" fontId="5" fillId="8" borderId="48" xfId="0" applyFont="1" applyFill="1" applyBorder="1" applyAlignment="1" applyProtection="1">
      <alignment horizontal="center" vertical="center" wrapText="1"/>
      <protection locked="0"/>
    </xf>
    <xf numFmtId="0" fontId="5" fillId="0" borderId="5"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1" fontId="5" fillId="8" borderId="25" xfId="0" applyNumberFormat="1" applyFont="1" applyFill="1" applyBorder="1" applyAlignment="1" applyProtection="1">
      <alignment horizontal="center" vertical="center" wrapText="1"/>
      <protection locked="0"/>
    </xf>
    <xf numFmtId="1" fontId="5" fillId="8" borderId="33" xfId="0" applyNumberFormat="1" applyFont="1" applyFill="1" applyBorder="1" applyAlignment="1" applyProtection="1">
      <alignment horizontal="center" vertical="center" wrapText="1"/>
      <protection locked="0"/>
    </xf>
    <xf numFmtId="1" fontId="5" fillId="8" borderId="42" xfId="0" applyNumberFormat="1" applyFont="1" applyFill="1" applyBorder="1" applyAlignment="1" applyProtection="1">
      <alignment horizontal="center" vertical="center" wrapText="1"/>
      <protection locked="0"/>
    </xf>
    <xf numFmtId="1" fontId="5" fillId="8" borderId="46" xfId="0" applyNumberFormat="1" applyFont="1" applyFill="1" applyBorder="1" applyAlignment="1" applyProtection="1">
      <alignment horizontal="center" vertical="center" wrapText="1"/>
      <protection locked="0"/>
    </xf>
    <xf numFmtId="0" fontId="5" fillId="8" borderId="20" xfId="0" applyFont="1" applyFill="1" applyBorder="1" applyAlignment="1" applyProtection="1">
      <alignment horizontal="center" vertical="center" wrapText="1"/>
      <protection locked="0"/>
    </xf>
    <xf numFmtId="0" fontId="5" fillId="8" borderId="22" xfId="0" applyFont="1" applyFill="1" applyBorder="1" applyAlignment="1" applyProtection="1">
      <alignment horizontal="center" vertical="center" wrapText="1"/>
      <protection locked="0"/>
    </xf>
    <xf numFmtId="0" fontId="5" fillId="8" borderId="23" xfId="0" applyFont="1" applyFill="1" applyBorder="1" applyAlignment="1" applyProtection="1">
      <alignment horizontal="center" vertical="center" wrapText="1"/>
      <protection locked="0"/>
    </xf>
    <xf numFmtId="0" fontId="5" fillId="8" borderId="24" xfId="0" applyFont="1" applyFill="1" applyBorder="1" applyAlignment="1" applyProtection="1">
      <alignment horizontal="center" vertical="center" wrapText="1"/>
      <protection locked="0"/>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5" fillId="0" borderId="15" xfId="0" applyFont="1" applyBorder="1" applyAlignment="1">
      <alignment horizontal="left" vertical="center" wrapText="1"/>
    </xf>
    <xf numFmtId="0" fontId="5" fillId="0" borderId="16" xfId="0" applyFont="1" applyBorder="1" applyAlignment="1">
      <alignment horizontal="left" vertical="center" wrapText="1"/>
    </xf>
    <xf numFmtId="0" fontId="5" fillId="0" borderId="46" xfId="0" applyFont="1" applyBorder="1" applyAlignment="1">
      <alignment horizontal="left" vertical="center" wrapText="1"/>
    </xf>
    <xf numFmtId="2" fontId="5" fillId="0" borderId="32" xfId="0" applyNumberFormat="1" applyFont="1" applyBorder="1" applyAlignment="1">
      <alignment horizontal="center" vertical="center" wrapText="1"/>
    </xf>
    <xf numFmtId="0" fontId="5" fillId="0" borderId="32"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5" fillId="0" borderId="24" xfId="0" applyFont="1" applyBorder="1" applyAlignment="1">
      <alignment horizontal="left" vertical="center"/>
    </xf>
    <xf numFmtId="0" fontId="5" fillId="0" borderId="4" xfId="0" applyFont="1" applyBorder="1" applyAlignment="1">
      <alignment horizontal="center"/>
    </xf>
    <xf numFmtId="0" fontId="5" fillId="0" borderId="0" xfId="0" applyFont="1" applyAlignment="1">
      <alignment horizontal="center"/>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0" fontId="4" fillId="0" borderId="26" xfId="0" applyFont="1" applyBorder="1" applyAlignment="1">
      <alignment horizontal="left" vertical="center" wrapText="1"/>
    </xf>
    <xf numFmtId="0" fontId="4" fillId="0" borderId="23" xfId="0"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17" fillId="6" borderId="6" xfId="0" applyFont="1" applyFill="1" applyBorder="1" applyAlignment="1">
      <alignment horizontal="left" vertical="center" wrapText="1"/>
    </xf>
    <xf numFmtId="0" fontId="17" fillId="6" borderId="7" xfId="0" applyFont="1" applyFill="1" applyBorder="1" applyAlignment="1">
      <alignment horizontal="left" vertical="center" wrapText="1"/>
    </xf>
    <xf numFmtId="0" fontId="17" fillId="6" borderId="8" xfId="0" applyFont="1" applyFill="1" applyBorder="1" applyAlignment="1">
      <alignment horizontal="left" vertical="center" wrapText="1"/>
    </xf>
    <xf numFmtId="0" fontId="14" fillId="2" borderId="13" xfId="0" applyFont="1" applyFill="1" applyBorder="1" applyAlignment="1" applyProtection="1">
      <alignment horizontal="center" vertical="center" wrapText="1"/>
      <protection locked="0"/>
    </xf>
    <xf numFmtId="0" fontId="10" fillId="5" borderId="6" xfId="0" applyFont="1" applyFill="1" applyBorder="1" applyAlignment="1">
      <alignment horizontal="left" vertical="top" wrapText="1"/>
    </xf>
    <xf numFmtId="0" fontId="10" fillId="5" borderId="7" xfId="0" applyFont="1" applyFill="1" applyBorder="1" applyAlignment="1">
      <alignment horizontal="left" vertical="top" wrapText="1"/>
    </xf>
    <xf numFmtId="0" fontId="10" fillId="5" borderId="8" xfId="0" applyFont="1" applyFill="1" applyBorder="1" applyAlignment="1">
      <alignment horizontal="left" vertical="top" wrapText="1"/>
    </xf>
    <xf numFmtId="0" fontId="14" fillId="0" borderId="4" xfId="0" applyFont="1" applyBorder="1" applyAlignment="1">
      <alignment horizontal="center" vertical="center" wrapText="1"/>
    </xf>
    <xf numFmtId="0" fontId="14" fillId="0" borderId="0" xfId="0" applyFont="1" applyAlignment="1">
      <alignment horizontal="center" vertical="center" wrapText="1"/>
    </xf>
    <xf numFmtId="0" fontId="14" fillId="0" borderId="5" xfId="0" applyFont="1" applyBorder="1" applyAlignment="1">
      <alignment horizontal="center" vertical="center" wrapText="1"/>
    </xf>
    <xf numFmtId="2" fontId="12" fillId="11" borderId="32" xfId="0" applyNumberFormat="1" applyFont="1" applyFill="1" applyBorder="1" applyAlignment="1" applyProtection="1">
      <alignment horizontal="center" vertical="center" wrapText="1"/>
      <protection locked="0"/>
    </xf>
    <xf numFmtId="0" fontId="14" fillId="0" borderId="9"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49" xfId="0" applyFont="1" applyBorder="1" applyAlignment="1">
      <alignment horizontal="left" vertical="center"/>
    </xf>
    <xf numFmtId="0" fontId="14" fillId="0" borderId="50" xfId="0" applyFont="1" applyBorder="1" applyAlignment="1">
      <alignment horizontal="left" vertical="center"/>
    </xf>
    <xf numFmtId="0" fontId="14" fillId="2" borderId="50" xfId="0" applyFont="1" applyFill="1" applyBorder="1" applyAlignment="1" applyProtection="1">
      <alignment horizontal="center" vertical="center" wrapText="1"/>
      <protection locked="0"/>
    </xf>
    <xf numFmtId="0" fontId="14" fillId="0" borderId="12" xfId="0" applyFont="1" applyBorder="1" applyAlignment="1">
      <alignment horizontal="left" vertical="center"/>
    </xf>
    <xf numFmtId="0" fontId="14" fillId="0" borderId="13" xfId="0" applyFont="1" applyBorder="1" applyAlignment="1">
      <alignment horizontal="left" vertical="center"/>
    </xf>
    <xf numFmtId="0" fontId="14" fillId="0" borderId="13" xfId="0" applyFont="1" applyBorder="1" applyAlignment="1">
      <alignment horizontal="center" vertical="center" wrapText="1"/>
    </xf>
    <xf numFmtId="0" fontId="14" fillId="0" borderId="12" xfId="0" applyFont="1" applyBorder="1" applyAlignment="1">
      <alignment horizontal="left" vertical="center" wrapText="1"/>
    </xf>
    <xf numFmtId="0" fontId="14" fillId="0" borderId="13" xfId="0" applyFont="1" applyBorder="1" applyAlignment="1">
      <alignment horizontal="left" vertical="center" wrapText="1"/>
    </xf>
    <xf numFmtId="2" fontId="14" fillId="2" borderId="13" xfId="0" applyNumberFormat="1" applyFont="1" applyFill="1" applyBorder="1" applyAlignment="1" applyProtection="1">
      <alignment horizontal="center" vertical="center" wrapText="1"/>
      <protection locked="0"/>
    </xf>
    <xf numFmtId="0" fontId="36" fillId="0" borderId="0" xfId="0" applyFont="1" applyAlignment="1">
      <alignment horizontal="left" vertical="top" wrapText="1"/>
    </xf>
    <xf numFmtId="0" fontId="36" fillId="0" borderId="5" xfId="0" applyFont="1" applyBorder="1" applyAlignment="1">
      <alignment horizontal="left" vertical="top" wrapText="1"/>
    </xf>
    <xf numFmtId="0" fontId="36" fillId="0" borderId="10" xfId="0" applyFont="1" applyBorder="1" applyAlignment="1">
      <alignment horizontal="left" vertical="top" wrapText="1"/>
    </xf>
    <xf numFmtId="0" fontId="36" fillId="0" borderId="11" xfId="0" applyFont="1" applyBorder="1" applyAlignment="1">
      <alignment horizontal="left" vertical="top" wrapText="1"/>
    </xf>
    <xf numFmtId="0" fontId="14" fillId="0" borderId="12" xfId="0" applyFont="1" applyBorder="1" applyAlignment="1">
      <alignment horizontal="center" vertical="center" wrapText="1"/>
    </xf>
    <xf numFmtId="0" fontId="14" fillId="2" borderId="13" xfId="0" applyFont="1" applyFill="1" applyBorder="1" applyAlignment="1">
      <alignment horizontal="center" vertical="center" wrapText="1"/>
    </xf>
    <xf numFmtId="2" fontId="14" fillId="0" borderId="13" xfId="0" applyNumberFormat="1" applyFont="1" applyBorder="1" applyAlignment="1">
      <alignment horizontal="center" vertical="center" wrapText="1"/>
    </xf>
    <xf numFmtId="0" fontId="38" fillId="11" borderId="10" xfId="0" applyFont="1" applyFill="1" applyBorder="1" applyAlignment="1" applyProtection="1">
      <alignment horizontal="center" vertical="center" wrapText="1"/>
      <protection locked="0"/>
    </xf>
    <xf numFmtId="0" fontId="38" fillId="11" borderId="32" xfId="0" applyFont="1" applyFill="1" applyBorder="1" applyAlignment="1" applyProtection="1">
      <alignment horizontal="center" vertical="center" wrapText="1"/>
      <protection locked="0"/>
    </xf>
    <xf numFmtId="166" fontId="14" fillId="0" borderId="13" xfId="0" applyNumberFormat="1" applyFont="1" applyBorder="1" applyAlignment="1">
      <alignment horizontal="center" vertical="center" wrapText="1"/>
    </xf>
    <xf numFmtId="0" fontId="5" fillId="11" borderId="25" xfId="0" applyFont="1" applyFill="1" applyBorder="1" applyAlignment="1" applyProtection="1">
      <alignment horizontal="center" vertical="center" wrapText="1"/>
      <protection locked="0"/>
    </xf>
    <xf numFmtId="0" fontId="5" fillId="11" borderId="27" xfId="0" applyFont="1" applyFill="1" applyBorder="1" applyAlignment="1" applyProtection="1">
      <alignment horizontal="center" vertical="center" wrapText="1"/>
      <protection locked="0"/>
    </xf>
    <xf numFmtId="0" fontId="5" fillId="11" borderId="13" xfId="0" applyFont="1" applyFill="1" applyBorder="1" applyAlignment="1" applyProtection="1">
      <alignment horizontal="center" vertical="center" wrapText="1"/>
      <protection locked="0"/>
    </xf>
    <xf numFmtId="0" fontId="5" fillId="11" borderId="14" xfId="0" applyFont="1" applyFill="1" applyBorder="1" applyAlignment="1" applyProtection="1">
      <alignment horizontal="center" vertical="center" wrapText="1"/>
      <protection locked="0"/>
    </xf>
    <xf numFmtId="0" fontId="23" fillId="0" borderId="4" xfId="0" applyFont="1" applyBorder="1" applyAlignment="1">
      <alignment horizontal="center" vertical="center" wrapText="1"/>
    </xf>
    <xf numFmtId="0" fontId="23" fillId="0" borderId="0" xfId="0" applyFont="1" applyAlignment="1">
      <alignment horizontal="center" vertical="center" wrapText="1"/>
    </xf>
    <xf numFmtId="0" fontId="23" fillId="0" borderId="5" xfId="0" applyFont="1" applyBorder="1" applyAlignment="1">
      <alignment horizontal="center" vertical="center" wrapText="1"/>
    </xf>
    <xf numFmtId="0" fontId="10" fillId="5" borderId="6" xfId="0" applyFont="1" applyFill="1" applyBorder="1" applyAlignment="1">
      <alignment horizontal="left" vertical="center" wrapText="1"/>
    </xf>
    <xf numFmtId="0" fontId="10" fillId="5" borderId="7" xfId="0" applyFont="1" applyFill="1" applyBorder="1" applyAlignment="1">
      <alignment horizontal="left" vertical="center" wrapText="1"/>
    </xf>
    <xf numFmtId="0" fontId="10" fillId="5" borderId="8" xfId="0" applyFont="1" applyFill="1" applyBorder="1" applyAlignment="1">
      <alignment horizontal="left" vertical="center" wrapText="1"/>
    </xf>
    <xf numFmtId="0" fontId="10" fillId="5" borderId="9" xfId="0" applyFont="1" applyFill="1" applyBorder="1" applyAlignment="1">
      <alignment horizontal="left" vertical="center" wrapText="1"/>
    </xf>
    <xf numFmtId="0" fontId="10" fillId="5" borderId="10" xfId="0" applyFont="1" applyFill="1" applyBorder="1" applyAlignment="1">
      <alignment horizontal="left" vertical="center" wrapText="1"/>
    </xf>
    <xf numFmtId="0" fontId="10" fillId="5" borderId="11" xfId="0" applyFont="1" applyFill="1" applyBorder="1" applyAlignment="1">
      <alignment horizontal="left"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10" fillId="5" borderId="4" xfId="0" applyFont="1" applyFill="1" applyBorder="1" applyAlignment="1">
      <alignment horizontal="left" vertical="center" wrapText="1"/>
    </xf>
    <xf numFmtId="0" fontId="10" fillId="5" borderId="0" xfId="0" applyFont="1" applyFill="1" applyAlignment="1">
      <alignment horizontal="left" vertical="center" wrapText="1"/>
    </xf>
    <xf numFmtId="0" fontId="10" fillId="5" borderId="5" xfId="0" applyFont="1" applyFill="1" applyBorder="1" applyAlignment="1">
      <alignment horizontal="left" vertical="center" wrapText="1"/>
    </xf>
    <xf numFmtId="0" fontId="14" fillId="10" borderId="13" xfId="0" applyFont="1" applyFill="1" applyBorder="1" applyAlignment="1">
      <alignment horizontal="center" vertical="center" wrapText="1"/>
    </xf>
    <xf numFmtId="2" fontId="14" fillId="10" borderId="13" xfId="0" applyNumberFormat="1" applyFont="1" applyFill="1" applyBorder="1" applyAlignment="1">
      <alignment horizontal="center" vertical="center" wrapText="1"/>
    </xf>
    <xf numFmtId="0" fontId="14" fillId="0" borderId="12" xfId="0" applyFont="1" applyBorder="1" applyAlignment="1">
      <alignment horizontal="left"/>
    </xf>
    <xf numFmtId="0" fontId="14" fillId="0" borderId="13" xfId="0" applyFont="1" applyBorder="1" applyAlignment="1">
      <alignment horizontal="left"/>
    </xf>
    <xf numFmtId="0" fontId="14" fillId="0" borderId="17"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19" xfId="0" applyFont="1" applyBorder="1" applyAlignment="1">
      <alignment horizontal="center" vertical="center" wrapText="1"/>
    </xf>
    <xf numFmtId="2" fontId="14" fillId="0" borderId="12" xfId="0" applyNumberFormat="1" applyFont="1" applyBorder="1" applyAlignment="1">
      <alignment horizontal="center" vertical="center" wrapText="1"/>
    </xf>
    <xf numFmtId="0" fontId="14" fillId="3" borderId="31" xfId="0" applyFont="1" applyFill="1" applyBorder="1" applyAlignment="1">
      <alignment horizontal="left" vertical="center" wrapText="1"/>
    </xf>
    <xf numFmtId="0" fontId="14" fillId="3" borderId="32" xfId="0" applyFont="1" applyFill="1" applyBorder="1" applyAlignment="1">
      <alignment horizontal="left" vertical="center" wrapText="1"/>
    </xf>
    <xf numFmtId="2" fontId="14" fillId="10" borderId="32" xfId="0" applyNumberFormat="1" applyFont="1" applyFill="1" applyBorder="1" applyAlignment="1">
      <alignment horizontal="center" vertical="center" wrapText="1"/>
    </xf>
    <xf numFmtId="0" fontId="10" fillId="5" borderId="6" xfId="0" applyFont="1" applyFill="1" applyBorder="1" applyAlignment="1">
      <alignment horizontal="left" vertical="center"/>
    </xf>
    <xf numFmtId="0" fontId="13" fillId="5" borderId="7" xfId="0" applyFont="1" applyFill="1" applyBorder="1" applyAlignment="1">
      <alignment horizontal="left" vertical="center"/>
    </xf>
    <xf numFmtId="0" fontId="13" fillId="5" borderId="8" xfId="0" applyFont="1" applyFill="1" applyBorder="1" applyAlignment="1">
      <alignment horizontal="left" vertical="center"/>
    </xf>
    <xf numFmtId="0" fontId="13" fillId="5" borderId="9" xfId="0" applyFont="1" applyFill="1" applyBorder="1" applyAlignment="1">
      <alignment horizontal="left" vertical="center"/>
    </xf>
    <xf numFmtId="0" fontId="13" fillId="5" borderId="10" xfId="0" applyFont="1" applyFill="1" applyBorder="1" applyAlignment="1">
      <alignment horizontal="left" vertical="center"/>
    </xf>
    <xf numFmtId="0" fontId="13" fillId="5" borderId="11" xfId="0" applyFont="1" applyFill="1" applyBorder="1" applyAlignment="1">
      <alignment horizontal="left" vertical="center"/>
    </xf>
    <xf numFmtId="0" fontId="14" fillId="10" borderId="44" xfId="0" applyFont="1" applyFill="1" applyBorder="1" applyAlignment="1">
      <alignment horizontal="center" vertical="center" wrapText="1"/>
    </xf>
    <xf numFmtId="0" fontId="14" fillId="10" borderId="47"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3" xfId="0" applyBorder="1" applyAlignment="1">
      <alignment horizontal="center"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14" fillId="10" borderId="25" xfId="0" applyFont="1" applyFill="1" applyBorder="1" applyAlignment="1">
      <alignment horizontal="center" vertical="center" wrapText="1"/>
    </xf>
    <xf numFmtId="0" fontId="14" fillId="10" borderId="33" xfId="0" applyFont="1" applyFill="1" applyBorder="1" applyAlignment="1">
      <alignment horizontal="center" vertical="center" wrapText="1"/>
    </xf>
    <xf numFmtId="0" fontId="1" fillId="0" borderId="0" xfId="0" applyFont="1" applyAlignment="1">
      <alignment horizontal="center"/>
    </xf>
    <xf numFmtId="165" fontId="14" fillId="0" borderId="12" xfId="0" applyNumberFormat="1" applyFont="1" applyBorder="1" applyAlignment="1">
      <alignment horizontal="left" vertical="center" wrapText="1"/>
    </xf>
    <xf numFmtId="165" fontId="14" fillId="0" borderId="13" xfId="0" applyNumberFormat="1" applyFont="1" applyBorder="1" applyAlignment="1">
      <alignment horizontal="left" vertical="center" wrapText="1"/>
    </xf>
    <xf numFmtId="165" fontId="14" fillId="0" borderId="41" xfId="0" applyNumberFormat="1" applyFont="1" applyBorder="1" applyAlignment="1">
      <alignment horizontal="left" vertical="center" wrapText="1"/>
    </xf>
    <xf numFmtId="165" fontId="14" fillId="0" borderId="28" xfId="0" applyNumberFormat="1" applyFont="1" applyBorder="1" applyAlignment="1">
      <alignment horizontal="left" vertical="center" wrapText="1"/>
    </xf>
    <xf numFmtId="0" fontId="46" fillId="0" borderId="6" xfId="0" applyFont="1" applyBorder="1" applyAlignment="1">
      <alignment horizontal="left" wrapText="1"/>
    </xf>
    <xf numFmtId="0" fontId="46" fillId="0" borderId="7" xfId="0" applyFont="1" applyBorder="1" applyAlignment="1">
      <alignment horizontal="left" wrapText="1"/>
    </xf>
    <xf numFmtId="0" fontId="46" fillId="0" borderId="4" xfId="0" applyFont="1" applyBorder="1" applyAlignment="1">
      <alignment horizontal="left" wrapText="1"/>
    </xf>
    <xf numFmtId="0" fontId="46" fillId="0" borderId="0" xfId="0" applyFont="1" applyAlignment="1">
      <alignment horizontal="left" wrapText="1"/>
    </xf>
    <xf numFmtId="14" fontId="47" fillId="0" borderId="32" xfId="0" applyNumberFormat="1" applyFont="1" applyBorder="1" applyAlignment="1">
      <alignment horizontal="left"/>
    </xf>
    <xf numFmtId="0" fontId="0" fillId="3" borderId="6" xfId="0" applyFill="1" applyBorder="1" applyAlignment="1">
      <alignment horizontal="center" wrapText="1"/>
    </xf>
    <xf numFmtId="0" fontId="0" fillId="3" borderId="7" xfId="0" applyFill="1" applyBorder="1" applyAlignment="1">
      <alignment horizontal="center" wrapText="1"/>
    </xf>
    <xf numFmtId="0" fontId="0" fillId="3" borderId="8" xfId="0" applyFill="1" applyBorder="1" applyAlignment="1">
      <alignment horizontal="center" wrapText="1"/>
    </xf>
    <xf numFmtId="2" fontId="14" fillId="0" borderId="12" xfId="0" applyNumberFormat="1" applyFont="1" applyBorder="1" applyAlignment="1">
      <alignment horizontal="left" vertical="center" wrapText="1"/>
    </xf>
    <xf numFmtId="2" fontId="14" fillId="0" borderId="13" xfId="0" applyNumberFormat="1" applyFont="1" applyBorder="1" applyAlignment="1">
      <alignment horizontal="left" vertical="center" wrapText="1"/>
    </xf>
    <xf numFmtId="0" fontId="14" fillId="0" borderId="25" xfId="0" applyFont="1" applyBorder="1" applyAlignment="1">
      <alignment horizontal="center" vertical="center" wrapText="1"/>
    </xf>
    <xf numFmtId="0" fontId="14" fillId="0" borderId="33" xfId="0" applyFont="1" applyBorder="1" applyAlignment="1">
      <alignment horizontal="center" vertical="center" wrapText="1"/>
    </xf>
    <xf numFmtId="164" fontId="14" fillId="0" borderId="25" xfId="0" applyNumberFormat="1" applyFont="1" applyBorder="1" applyAlignment="1">
      <alignment horizontal="center" vertical="center" wrapText="1"/>
    </xf>
    <xf numFmtId="164" fontId="14" fillId="0" borderId="33" xfId="0" applyNumberFormat="1" applyFont="1" applyBorder="1" applyAlignment="1">
      <alignment horizontal="center" vertical="center" wrapText="1"/>
    </xf>
    <xf numFmtId="2" fontId="14" fillId="10" borderId="25" xfId="0" applyNumberFormat="1" applyFont="1" applyFill="1" applyBorder="1" applyAlignment="1">
      <alignment horizontal="center" vertical="center" wrapText="1"/>
    </xf>
    <xf numFmtId="2" fontId="14" fillId="10" borderId="33" xfId="0" applyNumberFormat="1" applyFont="1" applyFill="1" applyBorder="1" applyAlignment="1">
      <alignment horizontal="center" vertical="center" wrapText="1"/>
    </xf>
    <xf numFmtId="0" fontId="0" fillId="0" borderId="21" xfId="0" applyBorder="1" applyAlignment="1">
      <alignment horizontal="left" vertical="center" wrapText="1"/>
    </xf>
    <xf numFmtId="0" fontId="0" fillId="0" borderId="26" xfId="0" applyBorder="1" applyAlignment="1">
      <alignment horizontal="left" vertical="center" wrapText="1"/>
    </xf>
    <xf numFmtId="0" fontId="10" fillId="5" borderId="7" xfId="0" applyFont="1" applyFill="1" applyBorder="1" applyAlignment="1">
      <alignment horizontal="left" vertical="center"/>
    </xf>
    <xf numFmtId="0" fontId="10" fillId="5" borderId="8" xfId="0" applyFont="1" applyFill="1" applyBorder="1" applyAlignment="1">
      <alignment horizontal="left" vertical="center"/>
    </xf>
    <xf numFmtId="0" fontId="10" fillId="5" borderId="9" xfId="0" applyFont="1" applyFill="1" applyBorder="1" applyAlignment="1">
      <alignment horizontal="left" vertical="center"/>
    </xf>
    <xf numFmtId="0" fontId="10" fillId="5" borderId="10" xfId="0" applyFont="1" applyFill="1" applyBorder="1" applyAlignment="1">
      <alignment horizontal="left" vertical="center"/>
    </xf>
    <xf numFmtId="0" fontId="10" fillId="5" borderId="11" xfId="0" applyFont="1" applyFill="1" applyBorder="1" applyAlignment="1">
      <alignment horizontal="left" vertical="center"/>
    </xf>
    <xf numFmtId="0" fontId="14" fillId="0" borderId="31" xfId="0" applyFont="1" applyBorder="1" applyAlignment="1">
      <alignment horizontal="left"/>
    </xf>
    <xf numFmtId="0" fontId="14" fillId="0" borderId="32" xfId="0" applyFont="1" applyBorder="1" applyAlignment="1">
      <alignment horizontal="left"/>
    </xf>
    <xf numFmtId="0" fontId="14" fillId="0" borderId="33" xfId="0" applyFont="1" applyBorder="1" applyAlignment="1">
      <alignment horizontal="left"/>
    </xf>
    <xf numFmtId="0" fontId="14" fillId="10" borderId="21" xfId="0" applyFont="1" applyFill="1" applyBorder="1" applyAlignment="1">
      <alignment horizontal="center" vertical="center" wrapText="1"/>
    </xf>
    <xf numFmtId="2" fontId="14" fillId="0" borderId="31" xfId="0" applyNumberFormat="1" applyFont="1" applyBorder="1" applyAlignment="1">
      <alignment horizontal="center" vertical="center" wrapText="1"/>
    </xf>
    <xf numFmtId="2" fontId="14" fillId="0" borderId="32" xfId="0" applyNumberFormat="1" applyFont="1" applyBorder="1" applyAlignment="1">
      <alignment horizontal="center" vertical="center" wrapText="1"/>
    </xf>
    <xf numFmtId="2" fontId="14" fillId="0" borderId="33" xfId="0" applyNumberFormat="1" applyFont="1" applyBorder="1" applyAlignment="1">
      <alignment horizontal="center" vertical="center" wrapText="1"/>
    </xf>
    <xf numFmtId="165" fontId="14" fillId="0" borderId="25" xfId="0" applyNumberFormat="1" applyFont="1" applyBorder="1" applyAlignment="1">
      <alignment horizontal="center" wrapText="1"/>
    </xf>
    <xf numFmtId="165" fontId="14" fillId="0" borderId="33" xfId="0" applyNumberFormat="1" applyFont="1" applyBorder="1" applyAlignment="1">
      <alignment horizontal="center" wrapText="1"/>
    </xf>
    <xf numFmtId="2" fontId="14" fillId="0" borderId="25" xfId="0" applyNumberFormat="1" applyFont="1" applyBorder="1" applyAlignment="1">
      <alignment horizontal="center"/>
    </xf>
    <xf numFmtId="2" fontId="14" fillId="0" borderId="33" xfId="0" applyNumberFormat="1" applyFont="1" applyBorder="1" applyAlignment="1">
      <alignment horizontal="center"/>
    </xf>
    <xf numFmtId="2" fontId="14" fillId="0" borderId="25" xfId="0" applyNumberFormat="1" applyFont="1" applyBorder="1" applyAlignment="1">
      <alignment horizontal="center" vertical="center" wrapText="1"/>
    </xf>
    <xf numFmtId="165" fontId="14" fillId="0" borderId="12" xfId="0" applyNumberFormat="1" applyFont="1" applyBorder="1" applyAlignment="1">
      <alignment horizontal="center" vertical="center" wrapText="1"/>
    </xf>
    <xf numFmtId="165" fontId="14" fillId="0" borderId="13" xfId="0" applyNumberFormat="1" applyFont="1" applyBorder="1" applyAlignment="1">
      <alignment horizontal="center" vertical="center" wrapText="1"/>
    </xf>
    <xf numFmtId="0" fontId="59" fillId="0" borderId="1" xfId="0" applyFont="1" applyBorder="1" applyAlignment="1">
      <alignment horizontal="center" vertical="center" wrapText="1"/>
    </xf>
    <xf numFmtId="0" fontId="59" fillId="0" borderId="2" xfId="0" applyFont="1" applyBorder="1" applyAlignment="1">
      <alignment horizontal="center" vertical="center" wrapText="1"/>
    </xf>
    <xf numFmtId="0" fontId="59" fillId="0" borderId="3" xfId="0" applyFont="1" applyBorder="1" applyAlignment="1">
      <alignment horizontal="center" vertical="center" wrapText="1"/>
    </xf>
    <xf numFmtId="0" fontId="0" fillId="11" borderId="10" xfId="0" applyFill="1" applyBorder="1" applyAlignment="1" applyProtection="1">
      <alignment horizontal="center" wrapText="1"/>
      <protection locked="0"/>
    </xf>
    <xf numFmtId="0" fontId="67" fillId="5" borderId="31" xfId="0" applyFont="1" applyFill="1" applyBorder="1" applyAlignment="1">
      <alignment horizontal="left" vertical="center" wrapText="1"/>
    </xf>
    <xf numFmtId="0" fontId="67" fillId="5" borderId="32" xfId="0" applyFont="1" applyFill="1" applyBorder="1" applyAlignment="1">
      <alignment horizontal="left" vertical="center" wrapText="1"/>
    </xf>
    <xf numFmtId="0" fontId="0" fillId="0" borderId="4" xfId="0" applyBorder="1" applyAlignment="1">
      <alignment horizontal="left" vertical="center" wrapText="1"/>
    </xf>
    <xf numFmtId="0" fontId="0" fillId="0" borderId="0" xfId="0" applyAlignment="1">
      <alignment horizontal="left" vertical="center" wrapText="1"/>
    </xf>
    <xf numFmtId="2" fontId="12" fillId="11" borderId="10" xfId="0" applyNumberFormat="1" applyFont="1" applyFill="1" applyBorder="1" applyAlignment="1" applyProtection="1">
      <alignment horizontal="center" vertical="center" wrapText="1"/>
      <protection locked="0"/>
    </xf>
    <xf numFmtId="0" fontId="0" fillId="11" borderId="10" xfId="0" applyFill="1" applyBorder="1" applyAlignment="1" applyProtection="1">
      <alignment horizontal="center"/>
      <protection locked="0"/>
    </xf>
    <xf numFmtId="0" fontId="56" fillId="11" borderId="10" xfId="0" applyFont="1" applyFill="1" applyBorder="1" applyAlignment="1" applyProtection="1">
      <alignment horizontal="center" vertical="center" wrapText="1"/>
      <protection locked="0"/>
    </xf>
    <xf numFmtId="0" fontId="0" fillId="0" borderId="4" xfId="0" applyBorder="1" applyAlignment="1">
      <alignment vertical="center" wrapText="1"/>
    </xf>
    <xf numFmtId="0" fontId="0" fillId="0" borderId="0" xfId="0" applyAlignment="1">
      <alignment vertical="center" wrapText="1"/>
    </xf>
    <xf numFmtId="0" fontId="0" fillId="0" borderId="0" xfId="0" applyAlignment="1">
      <alignment horizontal="center" vertical="center" wrapText="1"/>
    </xf>
    <xf numFmtId="0" fontId="52" fillId="0" borderId="0" xfId="0" applyFont="1" applyAlignment="1">
      <alignment horizontal="center" vertical="center" wrapText="1"/>
    </xf>
    <xf numFmtId="0" fontId="52" fillId="0" borderId="10" xfId="0" applyFont="1" applyBorder="1" applyAlignment="1">
      <alignment horizontal="center" vertical="center" wrapText="1"/>
    </xf>
    <xf numFmtId="0" fontId="0" fillId="0" borderId="4" xfId="0" applyBorder="1" applyAlignment="1">
      <alignment horizontal="right" vertical="center"/>
    </xf>
    <xf numFmtId="0" fontId="0" fillId="0" borderId="0" xfId="0" applyAlignment="1">
      <alignment horizontal="right" vertical="center"/>
    </xf>
    <xf numFmtId="0" fontId="52" fillId="11" borderId="10" xfId="0" applyFont="1" applyFill="1" applyBorder="1" applyAlignment="1" applyProtection="1">
      <alignment horizontal="center" vertical="center" wrapText="1"/>
      <protection locked="0"/>
    </xf>
    <xf numFmtId="0" fontId="0" fillId="11" borderId="10" xfId="0" applyFill="1" applyBorder="1" applyAlignment="1" applyProtection="1">
      <alignment horizontal="center" vertical="center" wrapText="1"/>
      <protection locked="0"/>
    </xf>
    <xf numFmtId="0" fontId="1" fillId="11" borderId="10" xfId="0" applyFont="1" applyFill="1" applyBorder="1" applyAlignment="1" applyProtection="1">
      <alignment horizontal="center"/>
      <protection locked="0"/>
    </xf>
    <xf numFmtId="0" fontId="55" fillId="0" borderId="0" xfId="0" applyFont="1" applyAlignment="1">
      <alignment horizontal="left" vertical="center" wrapText="1"/>
    </xf>
    <xf numFmtId="0" fontId="0" fillId="0" borderId="29" xfId="0" applyBorder="1" applyAlignment="1">
      <alignment horizontal="center" vertical="center" wrapText="1"/>
    </xf>
    <xf numFmtId="0" fontId="0" fillId="0" borderId="51" xfId="0" applyBorder="1" applyAlignment="1">
      <alignment horizontal="center" vertical="center" wrapText="1"/>
    </xf>
    <xf numFmtId="0" fontId="1" fillId="0" borderId="0" xfId="0" applyFont="1" applyAlignment="1">
      <alignment horizontal="center" vertical="center" wrapText="1"/>
    </xf>
    <xf numFmtId="0" fontId="0" fillId="0" borderId="23" xfId="0" applyBorder="1" applyAlignment="1">
      <alignment horizontal="center" vertical="center"/>
    </xf>
    <xf numFmtId="0" fontId="0" fillId="0" borderId="24" xfId="0" applyBorder="1" applyAlignment="1">
      <alignment horizontal="center" vertical="center"/>
    </xf>
    <xf numFmtId="0" fontId="52" fillId="11" borderId="23" xfId="0" applyFont="1" applyFill="1" applyBorder="1" applyAlignment="1" applyProtection="1">
      <alignment horizontal="center" vertical="center" wrapText="1"/>
      <protection locked="0"/>
    </xf>
    <xf numFmtId="0" fontId="52" fillId="11" borderId="24" xfId="0" applyFont="1" applyFill="1" applyBorder="1" applyAlignment="1" applyProtection="1">
      <alignment horizontal="center" vertical="center" wrapText="1"/>
      <protection locked="0"/>
    </xf>
    <xf numFmtId="0" fontId="52" fillId="0" borderId="20" xfId="0" applyFont="1" applyBorder="1" applyAlignment="1">
      <alignment horizontal="center" vertical="center" wrapText="1"/>
    </xf>
    <xf numFmtId="0" fontId="52" fillId="0" borderId="22" xfId="0" applyFont="1" applyBorder="1" applyAlignment="1">
      <alignment horizontal="center" vertical="center" wrapText="1"/>
    </xf>
    <xf numFmtId="0" fontId="52" fillId="0" borderId="21" xfId="0" applyFont="1" applyBorder="1" applyAlignment="1">
      <alignment horizontal="center" vertical="center" wrapText="1"/>
    </xf>
    <xf numFmtId="0" fontId="0" fillId="0" borderId="62" xfId="0" applyBorder="1" applyAlignment="1">
      <alignment horizontal="center" vertical="center"/>
    </xf>
    <xf numFmtId="0" fontId="0" fillId="0" borderId="60" xfId="0" applyBorder="1" applyAlignment="1">
      <alignment horizontal="center" vertical="center"/>
    </xf>
    <xf numFmtId="0" fontId="52" fillId="0" borderId="24" xfId="0" applyFont="1" applyBorder="1" applyAlignment="1">
      <alignment horizontal="center" vertical="center" wrapText="1"/>
    </xf>
    <xf numFmtId="0" fontId="0" fillId="0" borderId="22" xfId="0" applyBorder="1" applyAlignment="1">
      <alignment horizontal="center" vertical="center" wrapText="1"/>
    </xf>
    <xf numFmtId="0" fontId="1" fillId="0" borderId="21" xfId="0" applyFont="1" applyBorder="1" applyAlignment="1">
      <alignment horizontal="center" vertical="center" wrapText="1"/>
    </xf>
    <xf numFmtId="0" fontId="1" fillId="0" borderId="22" xfId="0" applyFont="1" applyBorder="1" applyAlignment="1">
      <alignment horizontal="center" vertical="center" wrapText="1"/>
    </xf>
    <xf numFmtId="0" fontId="0" fillId="0" borderId="24" xfId="0" applyBorder="1" applyAlignment="1">
      <alignment horizontal="center" vertical="center" wrapText="1"/>
    </xf>
    <xf numFmtId="0" fontId="1" fillId="0" borderId="62" xfId="0" applyFont="1" applyBorder="1" applyAlignment="1">
      <alignment horizontal="center" vertical="center"/>
    </xf>
    <xf numFmtId="0" fontId="1" fillId="0" borderId="60" xfId="0" applyFont="1" applyBorder="1" applyAlignment="1">
      <alignment horizontal="center" vertical="center"/>
    </xf>
    <xf numFmtId="0" fontId="52" fillId="11" borderId="57" xfId="0" applyFont="1" applyFill="1" applyBorder="1" applyAlignment="1" applyProtection="1">
      <alignment horizontal="center" vertical="center" wrapText="1"/>
      <protection locked="0"/>
    </xf>
    <xf numFmtId="0" fontId="52" fillId="11" borderId="58" xfId="0" applyFont="1" applyFill="1" applyBorder="1" applyAlignment="1" applyProtection="1">
      <alignment horizontal="center" vertical="center" wrapText="1"/>
      <protection locked="0"/>
    </xf>
    <xf numFmtId="0" fontId="52" fillId="11" borderId="9" xfId="0" applyFont="1" applyFill="1" applyBorder="1" applyAlignment="1" applyProtection="1">
      <alignment horizontal="center" vertical="center" wrapText="1"/>
      <protection locked="0"/>
    </xf>
    <xf numFmtId="0" fontId="1" fillId="0" borderId="61" xfId="0" applyFont="1" applyBorder="1" applyAlignment="1">
      <alignment horizontal="center" vertical="center"/>
    </xf>
    <xf numFmtId="0" fontId="1" fillId="0" borderId="49" xfId="0" applyFont="1" applyBorder="1" applyAlignment="1">
      <alignment horizontal="center" vertical="center"/>
    </xf>
    <xf numFmtId="0" fontId="55" fillId="0" borderId="25" xfId="0" applyFont="1" applyBorder="1" applyAlignment="1">
      <alignment horizontal="center" vertical="center" wrapText="1"/>
    </xf>
    <xf numFmtId="0" fontId="55" fillId="0" borderId="33" xfId="0" applyFont="1" applyBorder="1" applyAlignment="1">
      <alignment horizontal="center" vertical="center" wrapText="1"/>
    </xf>
    <xf numFmtId="0" fontId="55" fillId="0" borderId="10" xfId="0" applyFont="1" applyBorder="1" applyAlignment="1">
      <alignment horizontal="center" vertical="center" wrapText="1"/>
    </xf>
    <xf numFmtId="0" fontId="56" fillId="0" borderId="10" xfId="0" applyFont="1" applyBorder="1" applyAlignment="1">
      <alignment horizontal="left" vertical="center" wrapText="1"/>
    </xf>
    <xf numFmtId="0" fontId="56" fillId="0" borderId="11" xfId="0" applyFont="1" applyBorder="1" applyAlignment="1">
      <alignment horizontal="left" vertical="center" wrapText="1"/>
    </xf>
    <xf numFmtId="0" fontId="1" fillId="0" borderId="63" xfId="0" applyFont="1" applyBorder="1" applyAlignment="1">
      <alignment horizontal="center" vertical="center"/>
    </xf>
    <xf numFmtId="0" fontId="1" fillId="0" borderId="64" xfId="0" applyFont="1" applyBorder="1" applyAlignment="1">
      <alignment horizontal="center" vertical="center"/>
    </xf>
    <xf numFmtId="0" fontId="1" fillId="0" borderId="10" xfId="0" applyFont="1" applyBorder="1" applyAlignment="1">
      <alignment horizontal="center" vertical="center" wrapText="1"/>
    </xf>
    <xf numFmtId="0" fontId="50" fillId="0" borderId="0" xfId="0" applyFont="1" applyAlignment="1">
      <alignment horizontal="center" vertical="center"/>
    </xf>
    <xf numFmtId="0" fontId="0" fillId="0" borderId="4" xfId="0" applyBorder="1" applyAlignment="1">
      <alignment horizontal="right" vertical="center" wrapText="1"/>
    </xf>
    <xf numFmtId="2" fontId="52" fillId="0" borderId="0" xfId="0" applyNumberFormat="1" applyFont="1" applyAlignment="1">
      <alignment horizontal="center" vertical="center" wrapText="1"/>
    </xf>
    <xf numFmtId="2" fontId="52" fillId="0" borderId="10" xfId="0" applyNumberFormat="1" applyFont="1" applyBorder="1" applyAlignment="1">
      <alignment horizontal="center" vertical="center" wrapText="1"/>
    </xf>
    <xf numFmtId="11" fontId="0" fillId="11" borderId="10" xfId="0" applyNumberFormat="1" applyFill="1" applyBorder="1" applyAlignment="1" applyProtection="1">
      <alignment horizontal="center" vertical="center"/>
      <protection locked="0"/>
    </xf>
    <xf numFmtId="164" fontId="52" fillId="0" borderId="0" xfId="0" applyNumberFormat="1" applyFont="1" applyAlignment="1">
      <alignment horizontal="center" vertical="center" wrapText="1"/>
    </xf>
    <xf numFmtId="164" fontId="52" fillId="0" borderId="10" xfId="0" applyNumberFormat="1" applyFont="1" applyBorder="1" applyAlignment="1">
      <alignment horizontal="center" vertical="center" wrapText="1"/>
    </xf>
    <xf numFmtId="0" fontId="0" fillId="0" borderId="0" xfId="0" applyAlignment="1">
      <alignment horizontal="right" vertical="center" wrapText="1"/>
    </xf>
    <xf numFmtId="0" fontId="53" fillId="0" borderId="0" xfId="0" applyFont="1" applyAlignment="1">
      <alignment vertical="center" wrapText="1"/>
    </xf>
    <xf numFmtId="0" fontId="52" fillId="11" borderId="10" xfId="0" applyFont="1" applyFill="1" applyBorder="1" applyAlignment="1" applyProtection="1">
      <alignment horizontal="right" vertical="center" wrapText="1"/>
      <protection locked="0"/>
    </xf>
    <xf numFmtId="0" fontId="5" fillId="0" borderId="17" xfId="0" applyFont="1" applyBorder="1" applyAlignment="1">
      <alignment vertical="center" wrapText="1"/>
    </xf>
    <xf numFmtId="0" fontId="5" fillId="0" borderId="18" xfId="0" applyFont="1" applyBorder="1" applyAlignment="1">
      <alignment vertical="center" wrapText="1"/>
    </xf>
    <xf numFmtId="0" fontId="5" fillId="0" borderId="19" xfId="0" applyFont="1" applyBorder="1" applyAlignment="1">
      <alignment vertical="center" wrapText="1"/>
    </xf>
    <xf numFmtId="0" fontId="5" fillId="0" borderId="4" xfId="0" applyFont="1" applyBorder="1" applyAlignment="1">
      <alignment vertical="center" wrapText="1"/>
    </xf>
    <xf numFmtId="0" fontId="5" fillId="0" borderId="0" xfId="0" applyFont="1" applyAlignment="1">
      <alignment vertical="center"/>
    </xf>
    <xf numFmtId="0" fontId="5" fillId="0" borderId="5" xfId="0" applyFont="1" applyBorder="1" applyAlignment="1">
      <alignment vertical="center"/>
    </xf>
    <xf numFmtId="2" fontId="5" fillId="0" borderId="4" xfId="0" applyNumberFormat="1" applyFont="1" applyBorder="1" applyAlignment="1">
      <alignment vertical="center" wrapText="1"/>
    </xf>
    <xf numFmtId="2" fontId="5" fillId="0" borderId="0" xfId="0" applyNumberFormat="1" applyFont="1" applyAlignment="1">
      <alignment vertical="center" wrapText="1"/>
    </xf>
    <xf numFmtId="2" fontId="5" fillId="0" borderId="5" xfId="0" applyNumberFormat="1" applyFont="1" applyBorder="1" applyAlignment="1">
      <alignment vertical="center" wrapText="1"/>
    </xf>
    <xf numFmtId="0" fontId="5" fillId="0" borderId="4" xfId="0" applyFont="1" applyBorder="1" applyAlignment="1">
      <alignment vertical="center"/>
    </xf>
    <xf numFmtId="0" fontId="4" fillId="0" borderId="4" xfId="0" applyFont="1" applyBorder="1" applyAlignment="1">
      <alignment horizontal="center"/>
    </xf>
    <xf numFmtId="0" fontId="4" fillId="0" borderId="0" xfId="0" applyFont="1" applyAlignment="1">
      <alignment horizontal="center"/>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5" fillId="0" borderId="41" xfId="0" applyFont="1" applyBorder="1" applyAlignment="1">
      <alignment horizontal="left" vertical="center" wrapText="1"/>
    </xf>
    <xf numFmtId="0" fontId="5" fillId="0" borderId="28" xfId="0" applyFont="1" applyBorder="1" applyAlignment="1">
      <alignment horizontal="left" vertical="center" wrapText="1"/>
    </xf>
    <xf numFmtId="4" fontId="4" fillId="0" borderId="43" xfId="0" applyNumberFormat="1" applyFont="1" applyBorder="1" applyAlignment="1">
      <alignment horizontal="left" vertical="center"/>
    </xf>
    <xf numFmtId="4" fontId="4" fillId="0" borderId="18" xfId="0" applyNumberFormat="1" applyFont="1" applyBorder="1" applyAlignment="1">
      <alignment horizontal="left" vertical="center"/>
    </xf>
    <xf numFmtId="4" fontId="4" fillId="0" borderId="19" xfId="0" applyNumberFormat="1" applyFont="1" applyBorder="1" applyAlignment="1">
      <alignment horizontal="left" vertical="center"/>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5" fillId="0" borderId="0" xfId="0" applyFont="1" applyAlignment="1">
      <alignment vertical="center" wrapText="1"/>
    </xf>
    <xf numFmtId="0" fontId="5" fillId="0" borderId="5" xfId="0" applyFont="1" applyBorder="1" applyAlignment="1">
      <alignment vertical="center" wrapText="1"/>
    </xf>
    <xf numFmtId="2" fontId="5" fillId="0" borderId="41" xfId="0" applyNumberFormat="1" applyFont="1" applyBorder="1" applyAlignment="1">
      <alignment horizontal="left" vertical="center" wrapText="1"/>
    </xf>
    <xf numFmtId="2" fontId="5" fillId="0" borderId="28" xfId="0" applyNumberFormat="1" applyFont="1" applyBorder="1" applyAlignment="1">
      <alignment horizontal="left" vertical="center" wrapText="1"/>
    </xf>
    <xf numFmtId="0" fontId="5" fillId="9" borderId="30" xfId="0" applyFont="1" applyFill="1" applyBorder="1" applyAlignment="1">
      <alignment horizontal="center" vertical="center" wrapText="1"/>
    </xf>
    <xf numFmtId="0" fontId="5" fillId="9" borderId="45" xfId="0" applyFont="1" applyFill="1" applyBorder="1" applyAlignment="1">
      <alignment horizontal="center" vertical="center" wrapText="1"/>
    </xf>
    <xf numFmtId="0" fontId="5" fillId="0" borderId="0" xfId="0" applyFont="1" applyAlignment="1">
      <alignment horizontal="center" vertical="center" wrapText="1"/>
    </xf>
    <xf numFmtId="0" fontId="5" fillId="0" borderId="1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9" xfId="0" applyFont="1" applyBorder="1" applyAlignment="1">
      <alignment horizontal="center" vertical="center" wrapText="1"/>
    </xf>
    <xf numFmtId="2" fontId="5" fillId="0" borderId="12" xfId="0" applyNumberFormat="1" applyFont="1" applyBorder="1" applyAlignment="1">
      <alignment horizontal="left" vertical="center" wrapText="1"/>
    </xf>
    <xf numFmtId="2" fontId="5" fillId="0" borderId="13" xfId="0" applyNumberFormat="1" applyFont="1" applyBorder="1" applyAlignment="1">
      <alignment horizontal="left"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5" fillId="9" borderId="25" xfId="0" applyFont="1" applyFill="1" applyBorder="1" applyAlignment="1">
      <alignment horizontal="center" vertical="center" wrapText="1"/>
    </xf>
    <xf numFmtId="164" fontId="5" fillId="0" borderId="20" xfId="0" applyNumberFormat="1" applyFont="1" applyBorder="1" applyAlignment="1">
      <alignment horizontal="center" vertical="center" wrapText="1"/>
    </xf>
    <xf numFmtId="164" fontId="5" fillId="0" borderId="23" xfId="0" applyNumberFormat="1" applyFont="1" applyBorder="1" applyAlignment="1">
      <alignment horizontal="center" vertical="center" wrapText="1"/>
    </xf>
    <xf numFmtId="0" fontId="17" fillId="6" borderId="38" xfId="0" applyFont="1" applyFill="1" applyBorder="1" applyAlignment="1">
      <alignment horizontal="left" vertical="center" wrapText="1"/>
    </xf>
    <xf numFmtId="0" fontId="17" fillId="6" borderId="39" xfId="0" applyFont="1" applyFill="1" applyBorder="1" applyAlignment="1">
      <alignment horizontal="left" vertical="center" wrapText="1"/>
    </xf>
    <xf numFmtId="0" fontId="17" fillId="6" borderId="44" xfId="0" applyFont="1" applyFill="1" applyBorder="1" applyAlignment="1">
      <alignment horizontal="left" vertical="center" wrapText="1"/>
    </xf>
    <xf numFmtId="0" fontId="5" fillId="0" borderId="32" xfId="0" applyFont="1" applyBorder="1" applyAlignment="1">
      <alignment vertical="center" wrapText="1"/>
    </xf>
    <xf numFmtId="0" fontId="5" fillId="0" borderId="27" xfId="0" applyFont="1" applyBorder="1" applyAlignment="1">
      <alignment vertical="center" wrapText="1"/>
    </xf>
    <xf numFmtId="0" fontId="5" fillId="0" borderId="12" xfId="0" applyFont="1" applyBorder="1" applyAlignment="1">
      <alignment horizontal="left"/>
    </xf>
    <xf numFmtId="0" fontId="5" fillId="0" borderId="13" xfId="0" applyFont="1" applyBorder="1" applyAlignment="1">
      <alignment horizontal="left"/>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5" fillId="0" borderId="41" xfId="0" applyFont="1" applyBorder="1" applyAlignment="1">
      <alignment horizontal="left"/>
    </xf>
    <xf numFmtId="0" fontId="5" fillId="0" borderId="28" xfId="0" applyFont="1" applyBorder="1" applyAlignment="1">
      <alignment horizontal="left"/>
    </xf>
    <xf numFmtId="0" fontId="5" fillId="0" borderId="4" xfId="0" applyFont="1" applyBorder="1" applyAlignment="1">
      <alignment horizontal="center" vertical="center" wrapText="1"/>
    </xf>
    <xf numFmtId="0" fontId="22" fillId="3" borderId="6" xfId="0" applyFont="1" applyFill="1" applyBorder="1" applyAlignment="1">
      <alignment horizontal="center" vertical="center" wrapText="1"/>
    </xf>
    <xf numFmtId="0" fontId="22" fillId="3" borderId="7" xfId="0" applyFont="1" applyFill="1" applyBorder="1" applyAlignment="1">
      <alignment horizontal="center" vertical="center" wrapText="1"/>
    </xf>
    <xf numFmtId="0" fontId="22" fillId="3" borderId="8" xfId="0"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Alignment="1">
      <alignment horizontal="center" vertical="center" wrapText="1"/>
    </xf>
    <xf numFmtId="0" fontId="2" fillId="0" borderId="5" xfId="0" applyFont="1" applyBorder="1" applyAlignment="1">
      <alignment horizontal="center" vertical="center" wrapText="1"/>
    </xf>
    <xf numFmtId="0" fontId="35" fillId="7" borderId="4" xfId="0" applyFont="1" applyFill="1" applyBorder="1" applyAlignment="1">
      <alignment horizontal="left" vertical="center" wrapText="1"/>
    </xf>
    <xf numFmtId="0" fontId="35" fillId="7" borderId="0" xfId="0" applyFont="1" applyFill="1" applyAlignment="1">
      <alignment horizontal="left" vertical="center" wrapText="1"/>
    </xf>
    <xf numFmtId="0" fontId="35" fillId="7" borderId="5" xfId="0" applyFont="1" applyFill="1" applyBorder="1" applyAlignment="1">
      <alignment horizontal="left" vertical="center" wrapText="1"/>
    </xf>
    <xf numFmtId="0" fontId="5" fillId="0" borderId="17" xfId="0" applyFont="1" applyBorder="1" applyAlignment="1">
      <alignment horizontal="center" vertical="center" wrapText="1"/>
    </xf>
    <xf numFmtId="0" fontId="11" fillId="6" borderId="38" xfId="0" applyFont="1" applyFill="1" applyBorder="1" applyAlignment="1">
      <alignment horizontal="left" vertical="center" wrapText="1"/>
    </xf>
    <xf numFmtId="0" fontId="11" fillId="6" borderId="39" xfId="0" applyFont="1" applyFill="1" applyBorder="1" applyAlignment="1">
      <alignment horizontal="left" vertical="center" wrapText="1"/>
    </xf>
    <xf numFmtId="0" fontId="11" fillId="6" borderId="52" xfId="0" applyFont="1" applyFill="1" applyBorder="1" applyAlignment="1">
      <alignment horizontal="left" vertical="center" wrapTex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5" fillId="0" borderId="4" xfId="0" applyFont="1" applyBorder="1" applyAlignment="1">
      <alignment horizontal="left" vertical="top" wrapText="1"/>
    </xf>
    <xf numFmtId="0" fontId="5" fillId="0" borderId="0" xfId="0" applyFont="1" applyAlignment="1">
      <alignment horizontal="left" vertical="top" wrapText="1"/>
    </xf>
    <xf numFmtId="0" fontId="5" fillId="0" borderId="5" xfId="0" applyFont="1" applyBorder="1" applyAlignment="1">
      <alignment horizontal="left" vertical="top" wrapText="1"/>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0" xfId="0" applyFont="1" applyAlignment="1">
      <alignment horizontal="center" vertical="center" wrapText="1"/>
    </xf>
    <xf numFmtId="0" fontId="17" fillId="0" borderId="5" xfId="0" applyFont="1" applyBorder="1" applyAlignment="1">
      <alignment horizontal="center" vertical="center" wrapText="1"/>
    </xf>
    <xf numFmtId="0" fontId="5" fillId="0" borderId="37" xfId="0" applyFont="1" applyBorder="1" applyAlignment="1">
      <alignment horizontal="left" vertical="top" wrapText="1"/>
    </xf>
    <xf numFmtId="0" fontId="5" fillId="0" borderId="21" xfId="0" applyFont="1" applyBorder="1" applyAlignment="1">
      <alignment horizontal="left" vertical="top" wrapText="1"/>
    </xf>
    <xf numFmtId="0" fontId="5" fillId="0" borderId="26" xfId="0" applyFont="1" applyBorder="1" applyAlignment="1">
      <alignment horizontal="left" vertical="top" wrapText="1"/>
    </xf>
    <xf numFmtId="0" fontId="5" fillId="0" borderId="17" xfId="0" applyFont="1" applyBorder="1" applyAlignment="1">
      <alignment horizontal="left" vertical="top" wrapText="1"/>
    </xf>
    <xf numFmtId="0" fontId="5" fillId="0" borderId="18" xfId="0" applyFont="1" applyBorder="1" applyAlignment="1">
      <alignment horizontal="left" vertical="top" wrapText="1"/>
    </xf>
    <xf numFmtId="0" fontId="5" fillId="0" borderId="19" xfId="0" applyFont="1" applyBorder="1" applyAlignment="1">
      <alignment horizontal="left" vertical="top" wrapText="1"/>
    </xf>
    <xf numFmtId="0" fontId="4" fillId="0" borderId="13" xfId="0" applyFont="1" applyBorder="1" applyAlignment="1"/>
    <xf numFmtId="0" fontId="5" fillId="0" borderId="17" xfId="0" applyFont="1" applyBorder="1" applyAlignment="1"/>
    <xf numFmtId="0" fontId="5" fillId="0" borderId="18" xfId="0" applyFont="1" applyBorder="1" applyAlignment="1"/>
    <xf numFmtId="0" fontId="5" fillId="0" borderId="4" xfId="0" applyFont="1" applyBorder="1" applyAlignment="1"/>
    <xf numFmtId="0" fontId="5" fillId="0" borderId="0" xfId="0" applyFont="1" applyAlignment="1"/>
    <xf numFmtId="0" fontId="5" fillId="0" borderId="5" xfId="0" applyFont="1" applyBorder="1" applyAlignment="1"/>
  </cellXfs>
  <cellStyles count="1">
    <cellStyle name="Normal" xfId="0" builtinId="0"/>
  </cellStyles>
  <dxfs count="0"/>
  <tableStyles count="0" defaultTableStyle="TableStyleMedium2" defaultPivotStyle="PivotStyleMedium9"/>
  <colors>
    <mruColors>
      <color rgb="FFE3E3E3"/>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6.png"/></Relationships>
</file>

<file path=xl/drawings/_rels/drawing9.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3</xdr:col>
      <xdr:colOff>682625</xdr:colOff>
      <xdr:row>0</xdr:row>
      <xdr:rowOff>47625</xdr:rowOff>
    </xdr:from>
    <xdr:to>
      <xdr:col>5</xdr:col>
      <xdr:colOff>218465</xdr:colOff>
      <xdr:row>0</xdr:row>
      <xdr:rowOff>1924050</xdr:rowOff>
    </xdr:to>
    <xdr:pic>
      <xdr:nvPicPr>
        <xdr:cNvPr id="3" name="Picture 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11752" y="47625"/>
          <a:ext cx="2488590" cy="1876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435775</xdr:colOff>
      <xdr:row>0</xdr:row>
      <xdr:rowOff>71436</xdr:rowOff>
    </xdr:from>
    <xdr:to>
      <xdr:col>9</xdr:col>
      <xdr:colOff>250038</xdr:colOff>
      <xdr:row>0</xdr:row>
      <xdr:rowOff>1947861</xdr:rowOff>
    </xdr:to>
    <xdr:pic>
      <xdr:nvPicPr>
        <xdr:cNvPr id="3" name="Picture 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64963" y="71436"/>
          <a:ext cx="2481263" cy="1876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52388</xdr:colOff>
      <xdr:row>31</xdr:row>
      <xdr:rowOff>95250</xdr:rowOff>
    </xdr:from>
    <xdr:to>
      <xdr:col>6</xdr:col>
      <xdr:colOff>585788</xdr:colOff>
      <xdr:row>31</xdr:row>
      <xdr:rowOff>95250</xdr:rowOff>
    </xdr:to>
    <xdr:sp macro="" textlink="">
      <xdr:nvSpPr>
        <xdr:cNvPr id="4" name="Line 5">
          <a:extLst>
            <a:ext uri="{FF2B5EF4-FFF2-40B4-BE49-F238E27FC236}">
              <a16:creationId xmlns:a16="http://schemas.microsoft.com/office/drawing/2014/main" id="{00000000-0008-0000-0100-000004000000}"/>
            </a:ext>
          </a:extLst>
        </xdr:cNvPr>
        <xdr:cNvSpPr>
          <a:spLocks noChangeShapeType="1"/>
        </xdr:cNvSpPr>
      </xdr:nvSpPr>
      <xdr:spPr bwMode="auto">
        <a:xfrm>
          <a:off x="6186488" y="3462338"/>
          <a:ext cx="5334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type="arrow" w="med" len="lg"/>
          <a:tailEnd type="none" w="med" len="lg"/>
        </a:ln>
        <a:extLst>
          <a:ext uri="{909E8E84-426E-40DD-AFC4-6F175D3DCCD1}">
            <a14:hiddenFill xmlns:a14="http://schemas.microsoft.com/office/drawing/2010/main">
              <a:noFill/>
            </a14:hiddenFill>
          </a:ext>
        </a:extLst>
      </xdr:spPr>
    </xdr:sp>
    <xdr:clientData/>
  </xdr:twoCellAnchor>
  <xdr:twoCellAnchor>
    <xdr:from>
      <xdr:col>6</xdr:col>
      <xdr:colOff>42863</xdr:colOff>
      <xdr:row>40</xdr:row>
      <xdr:rowOff>0</xdr:rowOff>
    </xdr:from>
    <xdr:to>
      <xdr:col>6</xdr:col>
      <xdr:colOff>576263</xdr:colOff>
      <xdr:row>40</xdr:row>
      <xdr:rowOff>0</xdr:rowOff>
    </xdr:to>
    <xdr:sp macro="" textlink="">
      <xdr:nvSpPr>
        <xdr:cNvPr id="5" name="Line 7">
          <a:extLst>
            <a:ext uri="{FF2B5EF4-FFF2-40B4-BE49-F238E27FC236}">
              <a16:creationId xmlns:a16="http://schemas.microsoft.com/office/drawing/2014/main" id="{00000000-0008-0000-0100-000005000000}"/>
            </a:ext>
          </a:extLst>
        </xdr:cNvPr>
        <xdr:cNvSpPr>
          <a:spLocks noChangeShapeType="1"/>
        </xdr:cNvSpPr>
      </xdr:nvSpPr>
      <xdr:spPr bwMode="auto">
        <a:xfrm>
          <a:off x="6176963" y="5043488"/>
          <a:ext cx="5334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type="arrow" w="med" len="lg"/>
          <a:tailEnd type="none" w="med" len="lg"/>
        </a:ln>
        <a:extLst>
          <a:ext uri="{909E8E84-426E-40DD-AFC4-6F175D3DCCD1}">
            <a14:hiddenFill xmlns:a14="http://schemas.microsoft.com/office/drawing/2010/main">
              <a:noFill/>
            </a14:hiddenFill>
          </a:ext>
        </a:extLst>
      </xdr:spPr>
    </xdr:sp>
    <xdr:clientData/>
  </xdr:twoCellAnchor>
  <xdr:twoCellAnchor>
    <xdr:from>
      <xdr:col>6</xdr:col>
      <xdr:colOff>61913</xdr:colOff>
      <xdr:row>48</xdr:row>
      <xdr:rowOff>180975</xdr:rowOff>
    </xdr:from>
    <xdr:to>
      <xdr:col>6</xdr:col>
      <xdr:colOff>595313</xdr:colOff>
      <xdr:row>48</xdr:row>
      <xdr:rowOff>180975</xdr:rowOff>
    </xdr:to>
    <xdr:sp macro="" textlink="">
      <xdr:nvSpPr>
        <xdr:cNvPr id="6" name="Line 8">
          <a:extLst>
            <a:ext uri="{FF2B5EF4-FFF2-40B4-BE49-F238E27FC236}">
              <a16:creationId xmlns:a16="http://schemas.microsoft.com/office/drawing/2014/main" id="{00000000-0008-0000-0100-000006000000}"/>
            </a:ext>
          </a:extLst>
        </xdr:cNvPr>
        <xdr:cNvSpPr>
          <a:spLocks noChangeShapeType="1"/>
        </xdr:cNvSpPr>
      </xdr:nvSpPr>
      <xdr:spPr bwMode="auto">
        <a:xfrm>
          <a:off x="6196013" y="6681788"/>
          <a:ext cx="5334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type="arrow" w="med" len="lg"/>
          <a:tailEnd type="none" w="med" len="lg"/>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214314</xdr:colOff>
      <xdr:row>33</xdr:row>
      <xdr:rowOff>161925</xdr:rowOff>
    </xdr:from>
    <xdr:to>
      <xdr:col>5</xdr:col>
      <xdr:colOff>1200149</xdr:colOff>
      <xdr:row>51</xdr:row>
      <xdr:rowOff>180975</xdr:rowOff>
    </xdr:to>
    <xdr:sp macro="" textlink="">
      <xdr:nvSpPr>
        <xdr:cNvPr id="3" name="Text Box 5">
          <a:extLst>
            <a:ext uri="{FF2B5EF4-FFF2-40B4-BE49-F238E27FC236}">
              <a16:creationId xmlns:a16="http://schemas.microsoft.com/office/drawing/2014/main" id="{00000000-0008-0000-0200-000003000000}"/>
            </a:ext>
          </a:extLst>
        </xdr:cNvPr>
        <xdr:cNvSpPr txBox="1">
          <a:spLocks noChangeArrowheads="1"/>
        </xdr:cNvSpPr>
      </xdr:nvSpPr>
      <xdr:spPr bwMode="auto">
        <a:xfrm>
          <a:off x="214314" y="8124825"/>
          <a:ext cx="7834311" cy="36385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36576" rIns="45720" bIns="0" anchor="t" upright="1"/>
        <a:lstStyle/>
        <a:p>
          <a:pPr algn="ctr" rtl="0">
            <a:defRPr sz="1000"/>
          </a:pPr>
          <a:endParaRPr lang="en-US" sz="2000" b="0" i="0" u="none" strike="noStrike" baseline="0">
            <a:solidFill>
              <a:srgbClr val="000000"/>
            </a:solidFill>
            <a:latin typeface="Arial"/>
            <a:cs typeface="Arial"/>
          </a:endParaRPr>
        </a:p>
        <a:p>
          <a:pPr algn="ctr" rtl="0">
            <a:defRPr sz="1000"/>
          </a:pPr>
          <a:endParaRPr lang="en-US" sz="2000" b="0" i="0" u="none" strike="noStrike" baseline="0">
            <a:solidFill>
              <a:srgbClr val="000000"/>
            </a:solidFill>
            <a:latin typeface="Arial"/>
            <a:cs typeface="Arial"/>
          </a:endParaRPr>
        </a:p>
        <a:p>
          <a:pPr algn="ctr" rtl="0">
            <a:defRPr sz="1000"/>
          </a:pPr>
          <a:endParaRPr lang="en-US" sz="2000" b="0" i="0" u="none" strike="noStrike" baseline="0">
            <a:solidFill>
              <a:srgbClr val="000000"/>
            </a:solidFill>
            <a:latin typeface="Arial"/>
            <a:cs typeface="Arial"/>
          </a:endParaRPr>
        </a:p>
        <a:p>
          <a:pPr algn="ctr" rtl="0">
            <a:defRPr sz="1000"/>
          </a:pPr>
          <a:endParaRPr lang="en-US" sz="2000" b="0" i="0" u="none" strike="noStrike" baseline="0">
            <a:solidFill>
              <a:srgbClr val="000000"/>
            </a:solidFill>
            <a:latin typeface="Arial"/>
            <a:cs typeface="Arial"/>
          </a:endParaRPr>
        </a:p>
        <a:p>
          <a:pPr algn="ctr" rtl="0">
            <a:defRPr sz="1000"/>
          </a:pPr>
          <a:endParaRPr lang="en-US" sz="2000" b="0" i="0" u="none" strike="noStrike" baseline="0">
            <a:solidFill>
              <a:srgbClr val="000000"/>
            </a:solidFill>
            <a:latin typeface="Arial"/>
            <a:cs typeface="Arial"/>
          </a:endParaRPr>
        </a:p>
        <a:p>
          <a:pPr algn="ctr" rtl="0">
            <a:defRPr sz="1000"/>
          </a:pPr>
          <a:r>
            <a:rPr lang="en-US" sz="2000" b="0" i="0" u="none" strike="noStrike" baseline="0">
              <a:solidFill>
                <a:srgbClr val="000000"/>
              </a:solidFill>
              <a:latin typeface="Arial"/>
              <a:cs typeface="Arial"/>
            </a:rPr>
            <a:t>THIS AREA RESERVED FOR MANUFACTURER'S PRODUCT INFORMATION, PHOTOS, AND/OR SCHEMATIC DIAGRAMS</a:t>
          </a:r>
        </a:p>
      </xdr:txBody>
    </xdr:sp>
    <xdr:clientData/>
  </xdr:twoCellAnchor>
  <xdr:twoCellAnchor editAs="oneCell">
    <xdr:from>
      <xdr:col>3</xdr:col>
      <xdr:colOff>685800</xdr:colOff>
      <xdr:row>0</xdr:row>
      <xdr:rowOff>47625</xdr:rowOff>
    </xdr:from>
    <xdr:to>
      <xdr:col>5</xdr:col>
      <xdr:colOff>766763</xdr:colOff>
      <xdr:row>4</xdr:row>
      <xdr:rowOff>431800</xdr:rowOff>
    </xdr:to>
    <xdr:pic>
      <xdr:nvPicPr>
        <xdr:cNvPr id="4" name="Picture 1">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29213" y="47625"/>
          <a:ext cx="2490788" cy="1876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409575</xdr:colOff>
      <xdr:row>17</xdr:row>
      <xdr:rowOff>28575</xdr:rowOff>
    </xdr:from>
    <xdr:to>
      <xdr:col>4</xdr:col>
      <xdr:colOff>809624</xdr:colOff>
      <xdr:row>22</xdr:row>
      <xdr:rowOff>123825</xdr:rowOff>
    </xdr:to>
    <xdr:grpSp>
      <xdr:nvGrpSpPr>
        <xdr:cNvPr id="9" name="Group 8">
          <a:extLst>
            <a:ext uri="{FF2B5EF4-FFF2-40B4-BE49-F238E27FC236}">
              <a16:creationId xmlns:a16="http://schemas.microsoft.com/office/drawing/2014/main" id="{00000000-0008-0000-0200-000009000000}"/>
            </a:ext>
          </a:extLst>
        </xdr:cNvPr>
        <xdr:cNvGrpSpPr/>
      </xdr:nvGrpSpPr>
      <xdr:grpSpPr>
        <a:xfrm>
          <a:off x="4533900" y="4543425"/>
          <a:ext cx="1523999" cy="1200150"/>
          <a:chOff x="8039100" y="3638550"/>
          <a:chExt cx="1609725" cy="1209675"/>
        </a:xfrm>
      </xdr:grpSpPr>
      <xdr:sp macro="" textlink="">
        <xdr:nvSpPr>
          <xdr:cNvPr id="2" name="Rectangle 1">
            <a:extLst>
              <a:ext uri="{FF2B5EF4-FFF2-40B4-BE49-F238E27FC236}">
                <a16:creationId xmlns:a16="http://schemas.microsoft.com/office/drawing/2014/main" id="{00000000-0008-0000-0200-000002000000}"/>
              </a:ext>
            </a:extLst>
          </xdr:cNvPr>
          <xdr:cNvSpPr/>
        </xdr:nvSpPr>
        <xdr:spPr>
          <a:xfrm>
            <a:off x="8039100" y="3638550"/>
            <a:ext cx="1609725" cy="1209675"/>
          </a:xfrm>
          <a:prstGeom prst="rect">
            <a:avLst/>
          </a:prstGeom>
          <a:solidFill>
            <a:srgbClr val="E3E3E3"/>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600" b="1">
                <a:solidFill>
                  <a:schemeClr val="tx1"/>
                </a:solidFill>
              </a:rPr>
              <a:t>A</a:t>
            </a:r>
            <a:r>
              <a:rPr lang="en-US" sz="1600" b="1" strike="noStrike" baseline="-25000">
                <a:solidFill>
                  <a:schemeClr val="tx1"/>
                </a:solidFill>
              </a:rPr>
              <a:t>B</a:t>
            </a:r>
            <a:endParaRPr lang="en-US" sz="1100" b="1" strike="noStrike" baseline="-25000">
              <a:solidFill>
                <a:schemeClr val="tx1"/>
              </a:solidFill>
            </a:endParaRPr>
          </a:p>
        </xdr:txBody>
      </xdr:sp>
      <xdr:sp macro="" textlink="">
        <xdr:nvSpPr>
          <xdr:cNvPr id="7" name="Rounded Rectangle 6">
            <a:extLst>
              <a:ext uri="{FF2B5EF4-FFF2-40B4-BE49-F238E27FC236}">
                <a16:creationId xmlns:a16="http://schemas.microsoft.com/office/drawing/2014/main" id="{00000000-0008-0000-0200-000007000000}"/>
              </a:ext>
            </a:extLst>
          </xdr:cNvPr>
          <xdr:cNvSpPr/>
        </xdr:nvSpPr>
        <xdr:spPr>
          <a:xfrm>
            <a:off x="8239125" y="3990975"/>
            <a:ext cx="1152525" cy="142875"/>
          </a:xfrm>
          <a:prstGeom prst="round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8" name="Rounded Rectangle 7">
            <a:extLst>
              <a:ext uri="{FF2B5EF4-FFF2-40B4-BE49-F238E27FC236}">
                <a16:creationId xmlns:a16="http://schemas.microsoft.com/office/drawing/2014/main" id="{00000000-0008-0000-0200-000008000000}"/>
              </a:ext>
            </a:extLst>
          </xdr:cNvPr>
          <xdr:cNvSpPr/>
        </xdr:nvSpPr>
        <xdr:spPr>
          <a:xfrm>
            <a:off x="8248650" y="4333875"/>
            <a:ext cx="1152525" cy="142875"/>
          </a:xfrm>
          <a:prstGeom prst="round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xdr:from>
      <xdr:col>3</xdr:col>
      <xdr:colOff>390524</xdr:colOff>
      <xdr:row>14</xdr:row>
      <xdr:rowOff>159810</xdr:rowOff>
    </xdr:from>
    <xdr:to>
      <xdr:col>4</xdr:col>
      <xdr:colOff>819150</xdr:colOff>
      <xdr:row>16</xdr:row>
      <xdr:rowOff>110044</xdr:rowOff>
    </xdr:to>
    <xdr:grpSp>
      <xdr:nvGrpSpPr>
        <xdr:cNvPr id="15" name="Group 14">
          <a:extLst>
            <a:ext uri="{FF2B5EF4-FFF2-40B4-BE49-F238E27FC236}">
              <a16:creationId xmlns:a16="http://schemas.microsoft.com/office/drawing/2014/main" id="{00000000-0008-0000-0200-00000F000000}"/>
            </a:ext>
          </a:extLst>
        </xdr:cNvPr>
        <xdr:cNvGrpSpPr/>
      </xdr:nvGrpSpPr>
      <xdr:grpSpPr>
        <a:xfrm>
          <a:off x="4514849" y="4169835"/>
          <a:ext cx="1552576" cy="264559"/>
          <a:chOff x="4914900" y="4333875"/>
          <a:chExt cx="1638300" cy="264560"/>
        </a:xfrm>
      </xdr:grpSpPr>
      <xdr:cxnSp macro="">
        <xdr:nvCxnSpPr>
          <xdr:cNvPr id="13" name="Straight Arrow Connector 12">
            <a:extLst>
              <a:ext uri="{FF2B5EF4-FFF2-40B4-BE49-F238E27FC236}">
                <a16:creationId xmlns:a16="http://schemas.microsoft.com/office/drawing/2014/main" id="{00000000-0008-0000-0200-00000D000000}"/>
              </a:ext>
            </a:extLst>
          </xdr:cNvPr>
          <xdr:cNvCxnSpPr/>
        </xdr:nvCxnSpPr>
        <xdr:spPr>
          <a:xfrm flipV="1">
            <a:off x="4914900" y="4581525"/>
            <a:ext cx="1638300" cy="9525"/>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sp macro="" textlink="">
        <xdr:nvSpPr>
          <xdr:cNvPr id="14" name="TextBox 13">
            <a:extLst>
              <a:ext uri="{FF2B5EF4-FFF2-40B4-BE49-F238E27FC236}">
                <a16:creationId xmlns:a16="http://schemas.microsoft.com/office/drawing/2014/main" id="{00000000-0008-0000-0200-00000E000000}"/>
              </a:ext>
            </a:extLst>
          </xdr:cNvPr>
          <xdr:cNvSpPr txBox="1"/>
        </xdr:nvSpPr>
        <xdr:spPr>
          <a:xfrm>
            <a:off x="5629275" y="4333875"/>
            <a:ext cx="25878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b</a:t>
            </a:r>
          </a:p>
        </xdr:txBody>
      </xdr:sp>
    </xdr:grpSp>
    <xdr:clientData/>
  </xdr:twoCellAnchor>
  <xdr:twoCellAnchor>
    <xdr:from>
      <xdr:col>4</xdr:col>
      <xdr:colOff>1000125</xdr:colOff>
      <xdr:row>17</xdr:row>
      <xdr:rowOff>19049</xdr:rowOff>
    </xdr:from>
    <xdr:to>
      <xdr:col>5</xdr:col>
      <xdr:colOff>81769</xdr:colOff>
      <xdr:row>22</xdr:row>
      <xdr:rowOff>122755</xdr:rowOff>
    </xdr:to>
    <xdr:grpSp>
      <xdr:nvGrpSpPr>
        <xdr:cNvPr id="19" name="Group 18">
          <a:extLst>
            <a:ext uri="{FF2B5EF4-FFF2-40B4-BE49-F238E27FC236}">
              <a16:creationId xmlns:a16="http://schemas.microsoft.com/office/drawing/2014/main" id="{00000000-0008-0000-0200-000013000000}"/>
            </a:ext>
          </a:extLst>
        </xdr:cNvPr>
        <xdr:cNvGrpSpPr/>
      </xdr:nvGrpSpPr>
      <xdr:grpSpPr>
        <a:xfrm>
          <a:off x="6248400" y="4533899"/>
          <a:ext cx="205594" cy="1208606"/>
          <a:chOff x="10319531" y="4170881"/>
          <a:chExt cx="258789" cy="1638300"/>
        </a:xfrm>
      </xdr:grpSpPr>
      <xdr:cxnSp macro="">
        <xdr:nvCxnSpPr>
          <xdr:cNvPr id="17" name="Straight Arrow Connector 16">
            <a:extLst>
              <a:ext uri="{FF2B5EF4-FFF2-40B4-BE49-F238E27FC236}">
                <a16:creationId xmlns:a16="http://schemas.microsoft.com/office/drawing/2014/main" id="{00000000-0008-0000-0200-000011000000}"/>
              </a:ext>
            </a:extLst>
          </xdr:cNvPr>
          <xdr:cNvCxnSpPr/>
        </xdr:nvCxnSpPr>
        <xdr:spPr>
          <a:xfrm rot="5400000" flipV="1">
            <a:off x="9509643" y="4985268"/>
            <a:ext cx="1638300" cy="9525"/>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sp macro="" textlink="">
        <xdr:nvSpPr>
          <xdr:cNvPr id="18" name="TextBox 17">
            <a:extLst>
              <a:ext uri="{FF2B5EF4-FFF2-40B4-BE49-F238E27FC236}">
                <a16:creationId xmlns:a16="http://schemas.microsoft.com/office/drawing/2014/main" id="{00000000-0008-0000-0200-000012000000}"/>
              </a:ext>
            </a:extLst>
          </xdr:cNvPr>
          <xdr:cNvSpPr txBox="1"/>
        </xdr:nvSpPr>
        <xdr:spPr>
          <a:xfrm>
            <a:off x="10319531" y="4882370"/>
            <a:ext cx="25878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a:t>a</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54985</xdr:colOff>
      <xdr:row>0</xdr:row>
      <xdr:rowOff>16453</xdr:rowOff>
    </xdr:from>
    <xdr:to>
      <xdr:col>11</xdr:col>
      <xdr:colOff>494001</xdr:colOff>
      <xdr:row>4</xdr:row>
      <xdr:rowOff>330778</xdr:rowOff>
    </xdr:to>
    <xdr:pic>
      <xdr:nvPicPr>
        <xdr:cNvPr id="4" name="Picture 2">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78224" y="16453"/>
          <a:ext cx="2491221" cy="1876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38966</xdr:colOff>
      <xdr:row>10</xdr:row>
      <xdr:rowOff>2540</xdr:rowOff>
    </xdr:from>
    <xdr:to>
      <xdr:col>9</xdr:col>
      <xdr:colOff>389662</xdr:colOff>
      <xdr:row>17</xdr:row>
      <xdr:rowOff>112209</xdr:rowOff>
    </xdr:to>
    <xdr:pic>
      <xdr:nvPicPr>
        <xdr:cNvPr id="8" name="Picture 7">
          <a:extLst>
            <a:ext uri="{FF2B5EF4-FFF2-40B4-BE49-F238E27FC236}">
              <a16:creationId xmlns:a16="http://schemas.microsoft.com/office/drawing/2014/main" id="{00000000-0008-0000-03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88057" y="3115484"/>
          <a:ext cx="1718831" cy="16336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222105</xdr:colOff>
      <xdr:row>13</xdr:row>
      <xdr:rowOff>173181</xdr:rowOff>
    </xdr:from>
    <xdr:to>
      <xdr:col>12</xdr:col>
      <xdr:colOff>529045</xdr:colOff>
      <xdr:row>21</xdr:row>
      <xdr:rowOff>150237</xdr:rowOff>
    </xdr:to>
    <xdr:pic>
      <xdr:nvPicPr>
        <xdr:cNvPr id="9" name="Picture 8">
          <a:extLst>
            <a:ext uri="{FF2B5EF4-FFF2-40B4-BE49-F238E27FC236}">
              <a16:creationId xmlns:a16="http://schemas.microsoft.com/office/drawing/2014/main" id="{00000000-0008-0000-0300-000009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439332" y="4048125"/>
          <a:ext cx="2359146" cy="15010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314324</xdr:colOff>
      <xdr:row>0</xdr:row>
      <xdr:rowOff>66675</xdr:rowOff>
    </xdr:from>
    <xdr:to>
      <xdr:col>13</xdr:col>
      <xdr:colOff>409574</xdr:colOff>
      <xdr:row>4</xdr:row>
      <xdr:rowOff>410595</xdr:rowOff>
    </xdr:to>
    <xdr:pic>
      <xdr:nvPicPr>
        <xdr:cNvPr id="4" name="Picture 2">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62600" y="66675"/>
          <a:ext cx="2486025" cy="1876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103188</xdr:colOff>
      <xdr:row>13</xdr:row>
      <xdr:rowOff>107156</xdr:rowOff>
    </xdr:from>
    <xdr:to>
      <xdr:col>15</xdr:col>
      <xdr:colOff>341312</xdr:colOff>
      <xdr:row>22</xdr:row>
      <xdr:rowOff>108094</xdr:rowOff>
    </xdr:to>
    <xdr:pic>
      <xdr:nvPicPr>
        <xdr:cNvPr id="6" name="Picture 5">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81688" y="4123531"/>
          <a:ext cx="3091656" cy="18225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314324</xdr:colOff>
      <xdr:row>0</xdr:row>
      <xdr:rowOff>66675</xdr:rowOff>
    </xdr:from>
    <xdr:to>
      <xdr:col>14</xdr:col>
      <xdr:colOff>263525</xdr:colOff>
      <xdr:row>4</xdr:row>
      <xdr:rowOff>381000</xdr:rowOff>
    </xdr:to>
    <xdr:pic>
      <xdr:nvPicPr>
        <xdr:cNvPr id="4" name="Picture 2">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53074" y="66675"/>
          <a:ext cx="2486026" cy="1876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87308</xdr:colOff>
      <xdr:row>14</xdr:row>
      <xdr:rowOff>59531</xdr:rowOff>
    </xdr:from>
    <xdr:to>
      <xdr:col>15</xdr:col>
      <xdr:colOff>437356</xdr:colOff>
      <xdr:row>23</xdr:row>
      <xdr:rowOff>32687</xdr:rowOff>
    </xdr:to>
    <xdr:pic>
      <xdr:nvPicPr>
        <xdr:cNvPr id="7" name="Picture 6">
          <a:extLst>
            <a:ext uri="{FF2B5EF4-FFF2-40B4-BE49-F238E27FC236}">
              <a16:creationId xmlns:a16="http://schemas.microsoft.com/office/drawing/2014/main" id="{00000000-0008-0000-0500-000007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 r="1926"/>
        <a:stretch/>
      </xdr:blipFill>
      <xdr:spPr bwMode="auto">
        <a:xfrm>
          <a:off x="5278433" y="4083844"/>
          <a:ext cx="3032130" cy="18225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653761</xdr:colOff>
      <xdr:row>0</xdr:row>
      <xdr:rowOff>60616</xdr:rowOff>
    </xdr:from>
    <xdr:to>
      <xdr:col>11</xdr:col>
      <xdr:colOff>414339</xdr:colOff>
      <xdr:row>4</xdr:row>
      <xdr:rowOff>280988</xdr:rowOff>
    </xdr:to>
    <xdr:pic>
      <xdr:nvPicPr>
        <xdr:cNvPr id="3" name="Picture 1">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39974" y="60616"/>
          <a:ext cx="2027527" cy="15157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8</xdr:col>
      <xdr:colOff>52388</xdr:colOff>
      <xdr:row>11</xdr:row>
      <xdr:rowOff>95250</xdr:rowOff>
    </xdr:from>
    <xdr:to>
      <xdr:col>8</xdr:col>
      <xdr:colOff>585788</xdr:colOff>
      <xdr:row>11</xdr:row>
      <xdr:rowOff>95250</xdr:rowOff>
    </xdr:to>
    <xdr:sp macro="" textlink="">
      <xdr:nvSpPr>
        <xdr:cNvPr id="6" name="Line 5">
          <a:extLst>
            <a:ext uri="{FF2B5EF4-FFF2-40B4-BE49-F238E27FC236}">
              <a16:creationId xmlns:a16="http://schemas.microsoft.com/office/drawing/2014/main" id="{00000000-0008-0000-0700-000006000000}"/>
            </a:ext>
          </a:extLst>
        </xdr:cNvPr>
        <xdr:cNvSpPr>
          <a:spLocks noChangeShapeType="1"/>
        </xdr:cNvSpPr>
      </xdr:nvSpPr>
      <xdr:spPr bwMode="auto">
        <a:xfrm>
          <a:off x="6186488" y="3648075"/>
          <a:ext cx="5334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type="arrow" w="med" len="lg"/>
          <a:tailEnd type="none" w="med" len="lg"/>
        </a:ln>
        <a:extLst>
          <a:ext uri="{909E8E84-426E-40DD-AFC4-6F175D3DCCD1}">
            <a14:hiddenFill xmlns:a14="http://schemas.microsoft.com/office/drawing/2010/main">
              <a:noFill/>
            </a14:hiddenFill>
          </a:ext>
        </a:extLst>
      </xdr:spPr>
    </xdr:sp>
    <xdr:clientData/>
  </xdr:twoCellAnchor>
  <xdr:twoCellAnchor>
    <xdr:from>
      <xdr:col>8</xdr:col>
      <xdr:colOff>42863</xdr:colOff>
      <xdr:row>20</xdr:row>
      <xdr:rowOff>0</xdr:rowOff>
    </xdr:from>
    <xdr:to>
      <xdr:col>8</xdr:col>
      <xdr:colOff>576263</xdr:colOff>
      <xdr:row>20</xdr:row>
      <xdr:rowOff>0</xdr:rowOff>
    </xdr:to>
    <xdr:sp macro="" textlink="">
      <xdr:nvSpPr>
        <xdr:cNvPr id="7" name="Line 7">
          <a:extLst>
            <a:ext uri="{FF2B5EF4-FFF2-40B4-BE49-F238E27FC236}">
              <a16:creationId xmlns:a16="http://schemas.microsoft.com/office/drawing/2014/main" id="{00000000-0008-0000-0700-000007000000}"/>
            </a:ext>
          </a:extLst>
        </xdr:cNvPr>
        <xdr:cNvSpPr>
          <a:spLocks noChangeShapeType="1"/>
        </xdr:cNvSpPr>
      </xdr:nvSpPr>
      <xdr:spPr bwMode="auto">
        <a:xfrm>
          <a:off x="6176963" y="5267325"/>
          <a:ext cx="5334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type="arrow" w="med" len="lg"/>
          <a:tailEnd type="none" w="med" len="lg"/>
        </a:ln>
        <a:extLst>
          <a:ext uri="{909E8E84-426E-40DD-AFC4-6F175D3DCCD1}">
            <a14:hiddenFill xmlns:a14="http://schemas.microsoft.com/office/drawing/2010/main">
              <a:noFill/>
            </a14:hiddenFill>
          </a:ext>
        </a:extLst>
      </xdr:spPr>
    </xdr:sp>
    <xdr:clientData/>
  </xdr:twoCellAnchor>
  <xdr:twoCellAnchor>
    <xdr:from>
      <xdr:col>8</xdr:col>
      <xdr:colOff>61913</xdr:colOff>
      <xdr:row>28</xdr:row>
      <xdr:rowOff>180975</xdr:rowOff>
    </xdr:from>
    <xdr:to>
      <xdr:col>8</xdr:col>
      <xdr:colOff>595313</xdr:colOff>
      <xdr:row>28</xdr:row>
      <xdr:rowOff>180975</xdr:rowOff>
    </xdr:to>
    <xdr:sp macro="" textlink="">
      <xdr:nvSpPr>
        <xdr:cNvPr id="8" name="Line 8">
          <a:extLst>
            <a:ext uri="{FF2B5EF4-FFF2-40B4-BE49-F238E27FC236}">
              <a16:creationId xmlns:a16="http://schemas.microsoft.com/office/drawing/2014/main" id="{00000000-0008-0000-0700-000008000000}"/>
            </a:ext>
          </a:extLst>
        </xdr:cNvPr>
        <xdr:cNvSpPr>
          <a:spLocks noChangeShapeType="1"/>
        </xdr:cNvSpPr>
      </xdr:nvSpPr>
      <xdr:spPr bwMode="auto">
        <a:xfrm>
          <a:off x="6196013" y="6972300"/>
          <a:ext cx="5334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type="arrow" w="med" len="lg"/>
          <a:tailEnd type="none" w="med" len="lg"/>
        </a:ln>
        <a:extLst>
          <a:ext uri="{909E8E84-426E-40DD-AFC4-6F175D3DCCD1}">
            <a14:hiddenFill xmlns:a14="http://schemas.microsoft.com/office/drawing/2010/main">
              <a:noFill/>
            </a14:hiddenFill>
          </a:ext>
        </a:extLst>
      </xdr:spPr>
    </xdr:sp>
    <xdr:clientData/>
  </xdr:twoCellAnchor>
  <xdr:twoCellAnchor editAs="oneCell">
    <xdr:from>
      <xdr:col>7</xdr:col>
      <xdr:colOff>109538</xdr:colOff>
      <xdr:row>0</xdr:row>
      <xdr:rowOff>36514</xdr:rowOff>
    </xdr:from>
    <xdr:to>
      <xdr:col>10</xdr:col>
      <xdr:colOff>307182</xdr:colOff>
      <xdr:row>4</xdr:row>
      <xdr:rowOff>366714</xdr:rowOff>
    </xdr:to>
    <xdr:pic>
      <xdr:nvPicPr>
        <xdr:cNvPr id="10" name="Picture 5">
          <a:extLst>
            <a:ext uri="{FF2B5EF4-FFF2-40B4-BE49-F238E27FC236}">
              <a16:creationId xmlns:a16="http://schemas.microsoft.com/office/drawing/2014/main" id="{00000000-0008-0000-07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43538" y="36514"/>
          <a:ext cx="2483644" cy="1885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752475</xdr:colOff>
      <xdr:row>0</xdr:row>
      <xdr:rowOff>38100</xdr:rowOff>
    </xdr:from>
    <xdr:to>
      <xdr:col>5</xdr:col>
      <xdr:colOff>275359</xdr:colOff>
      <xdr:row>0</xdr:row>
      <xdr:rowOff>1924050</xdr:rowOff>
    </xdr:to>
    <xdr:pic>
      <xdr:nvPicPr>
        <xdr:cNvPr id="4" name="Picture 2">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0175" y="38100"/>
          <a:ext cx="2494684" cy="1885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H75"/>
  <sheetViews>
    <sheetView topLeftCell="A56" zoomScale="90" zoomScaleNormal="90" workbookViewId="0">
      <selection activeCell="A4" sqref="A4:F11"/>
    </sheetView>
  </sheetViews>
  <sheetFormatPr defaultColWidth="9.140625" defaultRowHeight="12.95"/>
  <cols>
    <col min="1" max="5" width="20.7109375" style="2" customWidth="1"/>
    <col min="6" max="6" width="26.5703125" style="2" customWidth="1"/>
    <col min="7" max="10" width="20.7109375" style="2" customWidth="1"/>
    <col min="11" max="16384" width="9.140625" style="2"/>
  </cols>
  <sheetData>
    <row r="1" spans="1:6" s="1" customFormat="1" ht="153.75" customHeight="1" thickBot="1">
      <c r="A1" s="509" t="s">
        <v>0</v>
      </c>
      <c r="B1" s="510"/>
      <c r="C1" s="510"/>
      <c r="D1" s="511"/>
      <c r="E1" s="512"/>
      <c r="F1" s="513"/>
    </row>
    <row r="2" spans="1:6" s="1" customFormat="1" ht="13.35" customHeight="1" thickBot="1">
      <c r="A2" s="514"/>
      <c r="B2" s="515"/>
      <c r="C2" s="515"/>
      <c r="D2" s="515"/>
      <c r="E2" s="515"/>
      <c r="F2" s="516"/>
    </row>
    <row r="3" spans="1:6" s="1" customFormat="1" ht="19.350000000000001" customHeight="1">
      <c r="A3" s="497" t="s">
        <v>1</v>
      </c>
      <c r="B3" s="498"/>
      <c r="C3" s="498"/>
      <c r="D3" s="498"/>
      <c r="E3" s="498"/>
      <c r="F3" s="499"/>
    </row>
    <row r="4" spans="1:6" s="1" customFormat="1" ht="15" customHeight="1">
      <c r="A4" s="500" t="s">
        <v>2</v>
      </c>
      <c r="B4" s="501"/>
      <c r="C4" s="501"/>
      <c r="D4" s="501"/>
      <c r="E4" s="501"/>
      <c r="F4" s="502"/>
    </row>
    <row r="5" spans="1:6" s="1" customFormat="1" ht="15" customHeight="1">
      <c r="A5" s="503"/>
      <c r="B5" s="504"/>
      <c r="C5" s="504"/>
      <c r="D5" s="504"/>
      <c r="E5" s="504"/>
      <c r="F5" s="505"/>
    </row>
    <row r="6" spans="1:6" ht="15" customHeight="1">
      <c r="A6" s="503"/>
      <c r="B6" s="504"/>
      <c r="C6" s="504"/>
      <c r="D6" s="504"/>
      <c r="E6" s="504"/>
      <c r="F6" s="505"/>
    </row>
    <row r="7" spans="1:6" ht="15" customHeight="1">
      <c r="A7" s="503"/>
      <c r="B7" s="504"/>
      <c r="C7" s="504"/>
      <c r="D7" s="504"/>
      <c r="E7" s="504"/>
      <c r="F7" s="505"/>
    </row>
    <row r="8" spans="1:6" ht="15" customHeight="1">
      <c r="A8" s="503"/>
      <c r="B8" s="504"/>
      <c r="C8" s="504"/>
      <c r="D8" s="504"/>
      <c r="E8" s="504"/>
      <c r="F8" s="505"/>
    </row>
    <row r="9" spans="1:6" s="3" customFormat="1" ht="14.25" customHeight="1">
      <c r="A9" s="503"/>
      <c r="B9" s="504"/>
      <c r="C9" s="504"/>
      <c r="D9" s="504"/>
      <c r="E9" s="504"/>
      <c r="F9" s="505"/>
    </row>
    <row r="10" spans="1:6" ht="15" customHeight="1">
      <c r="A10" s="503"/>
      <c r="B10" s="504"/>
      <c r="C10" s="504"/>
      <c r="D10" s="504"/>
      <c r="E10" s="504"/>
      <c r="F10" s="505"/>
    </row>
    <row r="11" spans="1:6" ht="13.5" thickBot="1">
      <c r="A11" s="506"/>
      <c r="B11" s="507"/>
      <c r="C11" s="507"/>
      <c r="D11" s="507"/>
      <c r="E11" s="507"/>
      <c r="F11" s="508"/>
    </row>
    <row r="12" spans="1:6" s="1" customFormat="1" ht="8.1" customHeight="1" thickBot="1">
      <c r="A12" s="517"/>
      <c r="B12" s="518"/>
      <c r="C12" s="518"/>
      <c r="D12" s="518"/>
      <c r="E12" s="518"/>
      <c r="F12" s="519"/>
    </row>
    <row r="13" spans="1:6" s="1" customFormat="1" ht="19.350000000000001" customHeight="1">
      <c r="A13" s="497" t="s">
        <v>3</v>
      </c>
      <c r="B13" s="498"/>
      <c r="C13" s="498"/>
      <c r="D13" s="498"/>
      <c r="E13" s="498"/>
      <c r="F13" s="499"/>
    </row>
    <row r="14" spans="1:6" s="1" customFormat="1" ht="15" customHeight="1">
      <c r="A14" s="500" t="s">
        <v>4</v>
      </c>
      <c r="B14" s="501"/>
      <c r="C14" s="501"/>
      <c r="D14" s="501"/>
      <c r="E14" s="501"/>
      <c r="F14" s="502"/>
    </row>
    <row r="15" spans="1:6" s="1" customFormat="1" ht="15" customHeight="1">
      <c r="A15" s="503"/>
      <c r="B15" s="504"/>
      <c r="C15" s="504"/>
      <c r="D15" s="504"/>
      <c r="E15" s="504"/>
      <c r="F15" s="505"/>
    </row>
    <row r="16" spans="1:6" s="1" customFormat="1" ht="15" customHeight="1">
      <c r="A16" s="503"/>
      <c r="B16" s="504"/>
      <c r="C16" s="504"/>
      <c r="D16" s="504"/>
      <c r="E16" s="504"/>
      <c r="F16" s="505"/>
    </row>
    <row r="17" spans="1:8" ht="15" customHeight="1">
      <c r="A17" s="503"/>
      <c r="B17" s="504"/>
      <c r="C17" s="504"/>
      <c r="D17" s="504"/>
      <c r="E17" s="504"/>
      <c r="F17" s="505"/>
    </row>
    <row r="18" spans="1:8" ht="15" customHeight="1">
      <c r="A18" s="503"/>
      <c r="B18" s="504"/>
      <c r="C18" s="504"/>
      <c r="D18" s="504"/>
      <c r="E18" s="504"/>
      <c r="F18" s="505"/>
    </row>
    <row r="19" spans="1:8" ht="13.5" thickBot="1">
      <c r="A19" s="506"/>
      <c r="B19" s="507"/>
      <c r="C19" s="507"/>
      <c r="D19" s="507"/>
      <c r="E19" s="507"/>
      <c r="F19" s="508"/>
    </row>
    <row r="20" spans="1:8" ht="8.1" customHeight="1" thickBot="1">
      <c r="A20" s="4"/>
      <c r="B20" s="5"/>
      <c r="C20" s="5"/>
      <c r="D20" s="6"/>
      <c r="E20" s="7"/>
      <c r="F20" s="8"/>
    </row>
    <row r="21" spans="1:8" ht="19.350000000000001" customHeight="1">
      <c r="A21" s="497" t="s">
        <v>5</v>
      </c>
      <c r="B21" s="498"/>
      <c r="C21" s="498"/>
      <c r="D21" s="498"/>
      <c r="E21" s="498"/>
      <c r="F21" s="499"/>
    </row>
    <row r="22" spans="1:8" ht="15" customHeight="1">
      <c r="A22" s="500" t="s">
        <v>6</v>
      </c>
      <c r="B22" s="501"/>
      <c r="C22" s="501"/>
      <c r="D22" s="501"/>
      <c r="E22" s="501"/>
      <c r="F22" s="502"/>
    </row>
    <row r="23" spans="1:8" ht="15" customHeight="1">
      <c r="A23" s="503"/>
      <c r="B23" s="504"/>
      <c r="C23" s="504"/>
      <c r="D23" s="504"/>
      <c r="E23" s="504"/>
      <c r="F23" s="505"/>
    </row>
    <row r="24" spans="1:8" ht="15" customHeight="1">
      <c r="A24" s="503"/>
      <c r="B24" s="504"/>
      <c r="C24" s="504"/>
      <c r="D24" s="504"/>
      <c r="E24" s="504"/>
      <c r="F24" s="505"/>
    </row>
    <row r="25" spans="1:8" ht="13.5" thickBot="1">
      <c r="A25" s="506"/>
      <c r="B25" s="507"/>
      <c r="C25" s="507"/>
      <c r="D25" s="507"/>
      <c r="E25" s="507"/>
      <c r="F25" s="508"/>
    </row>
    <row r="26" spans="1:8" ht="8.1" customHeight="1" thickBot="1">
      <c r="A26" s="12"/>
      <c r="B26" s="13"/>
      <c r="C26" s="13"/>
      <c r="D26" s="13"/>
      <c r="E26" s="13"/>
      <c r="F26" s="14"/>
    </row>
    <row r="27" spans="1:8" ht="19.350000000000001" customHeight="1">
      <c r="A27" s="497" t="s">
        <v>7</v>
      </c>
      <c r="B27" s="498"/>
      <c r="C27" s="498"/>
      <c r="D27" s="498"/>
      <c r="E27" s="498"/>
      <c r="F27" s="499"/>
    </row>
    <row r="28" spans="1:8" ht="15" customHeight="1">
      <c r="A28" s="500" t="s">
        <v>8</v>
      </c>
      <c r="B28" s="501"/>
      <c r="C28" s="501"/>
      <c r="D28" s="501"/>
      <c r="E28" s="501"/>
      <c r="F28" s="502"/>
    </row>
    <row r="29" spans="1:8" ht="15" customHeight="1">
      <c r="A29" s="503"/>
      <c r="B29" s="504"/>
      <c r="C29" s="504"/>
      <c r="D29" s="504"/>
      <c r="E29" s="504"/>
      <c r="F29" s="505"/>
    </row>
    <row r="30" spans="1:8" ht="15" customHeight="1">
      <c r="A30" s="503"/>
      <c r="B30" s="504"/>
      <c r="C30" s="504"/>
      <c r="D30" s="504"/>
      <c r="E30" s="504"/>
      <c r="F30" s="505"/>
    </row>
    <row r="31" spans="1:8" ht="13.5" thickBot="1">
      <c r="A31" s="506"/>
      <c r="B31" s="507"/>
      <c r="C31" s="507"/>
      <c r="D31" s="507"/>
      <c r="E31" s="507"/>
      <c r="F31" s="508"/>
    </row>
    <row r="32" spans="1:8" ht="8.1" customHeight="1" thickBot="1">
      <c r="A32" s="15"/>
      <c r="B32" s="16"/>
      <c r="C32" s="16"/>
      <c r="D32" s="16"/>
      <c r="E32" s="16"/>
      <c r="F32" s="17"/>
      <c r="H32" s="16"/>
    </row>
    <row r="33" spans="1:8" ht="19.350000000000001" customHeight="1">
      <c r="A33" s="497" t="s">
        <v>9</v>
      </c>
      <c r="B33" s="498"/>
      <c r="C33" s="498"/>
      <c r="D33" s="498"/>
      <c r="E33" s="498"/>
      <c r="F33" s="499"/>
    </row>
    <row r="34" spans="1:8" ht="15" customHeight="1">
      <c r="A34" s="500" t="s">
        <v>10</v>
      </c>
      <c r="B34" s="501"/>
      <c r="C34" s="501"/>
      <c r="D34" s="501"/>
      <c r="E34" s="501"/>
      <c r="F34" s="502"/>
    </row>
    <row r="35" spans="1:8" ht="15" customHeight="1">
      <c r="A35" s="503"/>
      <c r="B35" s="504"/>
      <c r="C35" s="504"/>
      <c r="D35" s="504"/>
      <c r="E35" s="504"/>
      <c r="F35" s="505"/>
    </row>
    <row r="36" spans="1:8" ht="15" customHeight="1">
      <c r="A36" s="503"/>
      <c r="B36" s="504"/>
      <c r="C36" s="504"/>
      <c r="D36" s="504"/>
      <c r="E36" s="504"/>
      <c r="F36" s="505"/>
    </row>
    <row r="37" spans="1:8" ht="13.5" thickBot="1">
      <c r="A37" s="506"/>
      <c r="B37" s="507"/>
      <c r="C37" s="507"/>
      <c r="D37" s="507"/>
      <c r="E37" s="507"/>
      <c r="F37" s="508"/>
    </row>
    <row r="38" spans="1:8" ht="8.1" customHeight="1" thickBot="1">
      <c r="A38" s="9"/>
      <c r="B38" s="10"/>
      <c r="C38" s="10"/>
      <c r="D38" s="10"/>
      <c r="E38" s="10"/>
      <c r="F38" s="11"/>
    </row>
    <row r="39" spans="1:8" ht="19.350000000000001" customHeight="1">
      <c r="A39" s="497" t="s">
        <v>11</v>
      </c>
      <c r="B39" s="498"/>
      <c r="C39" s="498"/>
      <c r="D39" s="498"/>
      <c r="E39" s="498"/>
      <c r="F39" s="499"/>
      <c r="H39" s="16"/>
    </row>
    <row r="40" spans="1:8" ht="14.85" customHeight="1">
      <c r="A40" s="500" t="s">
        <v>12</v>
      </c>
      <c r="B40" s="520"/>
      <c r="C40" s="520"/>
      <c r="D40" s="520"/>
      <c r="E40" s="520"/>
      <c r="F40" s="521"/>
      <c r="H40" s="16"/>
    </row>
    <row r="41" spans="1:8" ht="14.85" customHeight="1">
      <c r="A41" s="527"/>
      <c r="B41" s="522"/>
      <c r="C41" s="522"/>
      <c r="D41" s="522"/>
      <c r="E41" s="522"/>
      <c r="F41" s="523"/>
    </row>
    <row r="42" spans="1:8" ht="14.85" customHeight="1">
      <c r="A42" s="527"/>
      <c r="B42" s="522"/>
      <c r="C42" s="522"/>
      <c r="D42" s="522"/>
      <c r="E42" s="522"/>
      <c r="F42" s="523"/>
    </row>
    <row r="43" spans="1:8" ht="14.85" customHeight="1" thickBot="1">
      <c r="A43" s="524"/>
      <c r="B43" s="525"/>
      <c r="C43" s="525"/>
      <c r="D43" s="525"/>
      <c r="E43" s="525"/>
      <c r="F43" s="526"/>
    </row>
    <row r="44" spans="1:8" ht="8.1" customHeight="1" thickBot="1">
      <c r="A44" s="18"/>
      <c r="B44" s="19"/>
      <c r="C44" s="19"/>
      <c r="D44" s="19"/>
      <c r="E44" s="19"/>
      <c r="F44" s="20"/>
    </row>
    <row r="45" spans="1:8" ht="19.350000000000001" customHeight="1">
      <c r="A45" s="497" t="s">
        <v>13</v>
      </c>
      <c r="B45" s="498"/>
      <c r="C45" s="498"/>
      <c r="D45" s="498"/>
      <c r="E45" s="498"/>
      <c r="F45" s="499"/>
      <c r="H45" s="16"/>
    </row>
    <row r="46" spans="1:8" ht="14.45">
      <c r="A46" s="500" t="s">
        <v>14</v>
      </c>
      <c r="B46" s="520"/>
      <c r="C46" s="520"/>
      <c r="D46" s="520"/>
      <c r="E46" s="520"/>
      <c r="F46" s="521"/>
      <c r="H46" s="16"/>
    </row>
    <row r="47" spans="1:8" ht="14.45">
      <c r="A47" s="503"/>
      <c r="B47" s="522"/>
      <c r="C47" s="522"/>
      <c r="D47" s="522"/>
      <c r="E47" s="522"/>
      <c r="F47" s="523"/>
      <c r="H47" s="16"/>
    </row>
    <row r="48" spans="1:8" ht="13.5" thickBot="1">
      <c r="A48" s="524"/>
      <c r="B48" s="525"/>
      <c r="C48" s="525"/>
      <c r="D48" s="525"/>
      <c r="E48" s="525"/>
      <c r="F48" s="526"/>
    </row>
    <row r="49" spans="1:8" ht="8.1" customHeight="1" thickBot="1">
      <c r="A49" s="18"/>
      <c r="B49" s="19"/>
      <c r="C49" s="19"/>
      <c r="D49" s="19"/>
      <c r="E49" s="19"/>
      <c r="F49" s="20"/>
    </row>
    <row r="50" spans="1:8" ht="18.75" customHeight="1">
      <c r="A50" s="497" t="s">
        <v>15</v>
      </c>
      <c r="B50" s="498"/>
      <c r="C50" s="498"/>
      <c r="D50" s="498"/>
      <c r="E50" s="498"/>
      <c r="F50" s="499"/>
      <c r="H50" s="21"/>
    </row>
    <row r="51" spans="1:8" ht="15" customHeight="1">
      <c r="A51" s="500" t="s">
        <v>16</v>
      </c>
      <c r="B51" s="501"/>
      <c r="C51" s="501"/>
      <c r="D51" s="501"/>
      <c r="E51" s="501"/>
      <c r="F51" s="502"/>
      <c r="H51" s="22"/>
    </row>
    <row r="52" spans="1:8" ht="14.45">
      <c r="A52" s="503"/>
      <c r="B52" s="504"/>
      <c r="C52" s="504"/>
      <c r="D52" s="504"/>
      <c r="E52" s="504"/>
      <c r="F52" s="505"/>
      <c r="H52" s="22"/>
    </row>
    <row r="53" spans="1:8" ht="15" customHeight="1">
      <c r="A53" s="503"/>
      <c r="B53" s="504"/>
      <c r="C53" s="504"/>
      <c r="D53" s="504"/>
      <c r="E53" s="504"/>
      <c r="F53" s="505"/>
    </row>
    <row r="54" spans="1:8" ht="15" customHeight="1">
      <c r="A54" s="503"/>
      <c r="B54" s="504"/>
      <c r="C54" s="504"/>
      <c r="D54" s="504"/>
      <c r="E54" s="504"/>
      <c r="F54" s="505"/>
    </row>
    <row r="55" spans="1:8" ht="15" customHeight="1">
      <c r="A55" s="503"/>
      <c r="B55" s="504"/>
      <c r="C55" s="504"/>
      <c r="D55" s="504"/>
      <c r="E55" s="504"/>
      <c r="F55" s="505"/>
    </row>
    <row r="56" spans="1:8" ht="13.5" thickBot="1">
      <c r="A56" s="506"/>
      <c r="B56" s="507"/>
      <c r="C56" s="507"/>
      <c r="D56" s="507"/>
      <c r="E56" s="507"/>
      <c r="F56" s="508"/>
    </row>
    <row r="57" spans="1:8" ht="15" customHeight="1">
      <c r="A57" s="16"/>
      <c r="B57" s="16"/>
      <c r="C57" s="16"/>
      <c r="D57" s="16"/>
      <c r="E57" s="16"/>
      <c r="F57" s="16"/>
    </row>
    <row r="58" spans="1:8" ht="15" customHeight="1">
      <c r="A58" s="16"/>
      <c r="B58" s="16"/>
      <c r="C58" s="16"/>
      <c r="D58" s="16"/>
      <c r="E58" s="16"/>
      <c r="F58" s="16"/>
    </row>
    <row r="59" spans="1:8" ht="15" customHeight="1">
      <c r="A59" s="16"/>
      <c r="B59" s="16"/>
      <c r="C59" s="16"/>
      <c r="D59" s="16"/>
      <c r="E59" s="16"/>
      <c r="F59" s="16"/>
    </row>
    <row r="60" spans="1:8" ht="15" customHeight="1">
      <c r="A60" s="16"/>
      <c r="B60" s="16"/>
      <c r="C60" s="16"/>
      <c r="D60" s="16"/>
      <c r="E60" s="16"/>
      <c r="F60" s="16"/>
    </row>
    <row r="61" spans="1:8" ht="15" customHeight="1">
      <c r="A61" s="16"/>
      <c r="B61" s="16"/>
      <c r="C61" s="16"/>
      <c r="D61" s="16"/>
      <c r="E61" s="16"/>
      <c r="F61" s="16"/>
    </row>
    <row r="62" spans="1:8" ht="15" customHeight="1">
      <c r="A62" s="16"/>
      <c r="B62" s="16"/>
      <c r="C62" s="16"/>
      <c r="D62" s="16"/>
      <c r="E62" s="16"/>
      <c r="F62" s="16"/>
    </row>
    <row r="63" spans="1:8" ht="15" customHeight="1">
      <c r="A63" s="16"/>
      <c r="B63" s="16"/>
      <c r="C63" s="16"/>
      <c r="D63" s="16"/>
      <c r="E63" s="16"/>
      <c r="F63" s="16"/>
    </row>
    <row r="64" spans="1:8" ht="15" customHeight="1">
      <c r="A64" s="16"/>
      <c r="B64" s="16"/>
      <c r="C64" s="16"/>
      <c r="D64" s="16"/>
      <c r="E64" s="16"/>
      <c r="F64" s="16"/>
    </row>
    <row r="65" spans="1:6" ht="15" customHeight="1">
      <c r="A65" s="16"/>
      <c r="B65" s="16"/>
      <c r="C65" s="16"/>
      <c r="D65" s="16"/>
      <c r="E65" s="16"/>
      <c r="F65" s="16"/>
    </row>
    <row r="66" spans="1:6" ht="15" customHeight="1">
      <c r="A66" s="16"/>
      <c r="B66" s="16"/>
      <c r="C66" s="16"/>
      <c r="D66" s="16"/>
      <c r="E66" s="16"/>
      <c r="F66" s="16"/>
    </row>
    <row r="67" spans="1:6" ht="15" customHeight="1">
      <c r="A67" s="16"/>
      <c r="B67" s="16"/>
      <c r="C67" s="16"/>
      <c r="D67" s="16"/>
      <c r="E67" s="16"/>
      <c r="F67" s="16"/>
    </row>
    <row r="68" spans="1:6" ht="15" customHeight="1">
      <c r="A68" s="16"/>
      <c r="B68" s="16"/>
      <c r="C68" s="16"/>
      <c r="D68" s="16"/>
      <c r="E68" s="16"/>
      <c r="F68" s="16"/>
    </row>
    <row r="69" spans="1:6" ht="15" customHeight="1">
      <c r="A69" s="16"/>
      <c r="B69" s="16"/>
      <c r="C69" s="16"/>
      <c r="D69" s="16"/>
      <c r="E69" s="16"/>
      <c r="F69" s="16"/>
    </row>
    <row r="70" spans="1:6" ht="15" customHeight="1">
      <c r="A70" s="16"/>
      <c r="B70" s="16"/>
      <c r="C70" s="16"/>
      <c r="D70" s="16"/>
      <c r="E70" s="16"/>
      <c r="F70" s="16"/>
    </row>
    <row r="71" spans="1:6" ht="14.45">
      <c r="A71" s="16"/>
      <c r="B71" s="16"/>
      <c r="C71" s="16"/>
      <c r="D71" s="16"/>
      <c r="E71" s="16"/>
      <c r="F71" s="16"/>
    </row>
    <row r="72" spans="1:6" ht="14.45">
      <c r="A72" s="16"/>
      <c r="B72" s="16"/>
      <c r="C72" s="16"/>
      <c r="D72" s="16"/>
      <c r="E72" s="16"/>
      <c r="F72" s="16"/>
    </row>
    <row r="73" spans="1:6" ht="14.45">
      <c r="A73" s="16"/>
      <c r="B73" s="16"/>
      <c r="C73" s="16"/>
      <c r="D73" s="16"/>
      <c r="E73" s="16"/>
      <c r="F73" s="16"/>
    </row>
    <row r="74" spans="1:6" ht="14.45">
      <c r="A74" s="16"/>
      <c r="B74" s="16"/>
      <c r="C74" s="16"/>
      <c r="D74" s="16"/>
      <c r="E74" s="16"/>
      <c r="F74" s="16"/>
    </row>
    <row r="75" spans="1:6" ht="14.45">
      <c r="A75" s="16"/>
      <c r="B75" s="16"/>
      <c r="C75" s="16"/>
      <c r="D75" s="16"/>
      <c r="E75" s="16"/>
      <c r="F75" s="16"/>
    </row>
  </sheetData>
  <sheetProtection algorithmName="SHA-512" hashValue="v3iO30yTNPCMCqV0nU14rLXScaADT7zAJjwaqEr/wgG4rxHdm2cpWseAXuy03xcEAxgFWJm2KUwH+At1ZLdhpA==" saltValue="1o6mP3FCRJAExneUT0ItWA==" spinCount="100000" sheet="1" objects="1" scenarios="1"/>
  <mergeCells count="20">
    <mergeCell ref="A12:F12"/>
    <mergeCell ref="A51:F56"/>
    <mergeCell ref="A21:F21"/>
    <mergeCell ref="A22:F25"/>
    <mergeCell ref="A45:F45"/>
    <mergeCell ref="A46:F48"/>
    <mergeCell ref="A50:F50"/>
    <mergeCell ref="A34:F37"/>
    <mergeCell ref="A14:F19"/>
    <mergeCell ref="A27:F27"/>
    <mergeCell ref="A28:F31"/>
    <mergeCell ref="A33:F33"/>
    <mergeCell ref="A13:F13"/>
    <mergeCell ref="A39:F39"/>
    <mergeCell ref="A40:F43"/>
    <mergeCell ref="A3:F3"/>
    <mergeCell ref="A4:F11"/>
    <mergeCell ref="A1:C1"/>
    <mergeCell ref="D1:F1"/>
    <mergeCell ref="A2:F2"/>
  </mergeCells>
  <printOptions horizontalCentered="1"/>
  <pageMargins left="0.7" right="0.7" top="0.75" bottom="0.75" header="0.3" footer="0.65"/>
  <pageSetup scale="69" orientation="portrait" r:id="rId1"/>
  <headerFooter>
    <oddFooter>&amp;RRevision 1/Date 3/2020</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L64"/>
  <sheetViews>
    <sheetView topLeftCell="A29" zoomScale="80" zoomScaleNormal="80" workbookViewId="0">
      <selection activeCell="E18" sqref="E18:F18"/>
    </sheetView>
  </sheetViews>
  <sheetFormatPr defaultRowHeight="14.45"/>
  <cols>
    <col min="1" max="1" width="20.140625" customWidth="1"/>
    <col min="2" max="2" width="17" customWidth="1"/>
    <col min="3" max="3" width="19.85546875" customWidth="1"/>
    <col min="4" max="4" width="9.140625" customWidth="1"/>
    <col min="5" max="5" width="4.140625" customWidth="1"/>
    <col min="6" max="6" width="10.140625" customWidth="1"/>
    <col min="7" max="7" width="9.42578125" customWidth="1"/>
    <col min="8" max="9" width="8.85546875" customWidth="1"/>
    <col min="10" max="10" width="9.140625" customWidth="1"/>
    <col min="11" max="11" width="6.85546875" customWidth="1"/>
    <col min="256" max="257" width="20.7109375" customWidth="1"/>
    <col min="258" max="258" width="21.42578125" customWidth="1"/>
    <col min="259" max="265" width="20.7109375" customWidth="1"/>
    <col min="512" max="513" width="20.7109375" customWidth="1"/>
    <col min="514" max="514" width="21.42578125" customWidth="1"/>
    <col min="515" max="521" width="20.7109375" customWidth="1"/>
    <col min="768" max="769" width="20.7109375" customWidth="1"/>
    <col min="770" max="770" width="21.42578125" customWidth="1"/>
    <col min="771" max="777" width="20.7109375" customWidth="1"/>
    <col min="1024" max="1025" width="20.7109375" customWidth="1"/>
    <col min="1026" max="1026" width="21.42578125" customWidth="1"/>
    <col min="1027" max="1033" width="20.7109375" customWidth="1"/>
    <col min="1280" max="1281" width="20.7109375" customWidth="1"/>
    <col min="1282" max="1282" width="21.42578125" customWidth="1"/>
    <col min="1283" max="1289" width="20.7109375" customWidth="1"/>
    <col min="1536" max="1537" width="20.7109375" customWidth="1"/>
    <col min="1538" max="1538" width="21.42578125" customWidth="1"/>
    <col min="1539" max="1545" width="20.7109375" customWidth="1"/>
    <col min="1792" max="1793" width="20.7109375" customWidth="1"/>
    <col min="1794" max="1794" width="21.42578125" customWidth="1"/>
    <col min="1795" max="1801" width="20.7109375" customWidth="1"/>
    <col min="2048" max="2049" width="20.7109375" customWidth="1"/>
    <col min="2050" max="2050" width="21.42578125" customWidth="1"/>
    <col min="2051" max="2057" width="20.7109375" customWidth="1"/>
    <col min="2304" max="2305" width="20.7109375" customWidth="1"/>
    <col min="2306" max="2306" width="21.42578125" customWidth="1"/>
    <col min="2307" max="2313" width="20.7109375" customWidth="1"/>
    <col min="2560" max="2561" width="20.7109375" customWidth="1"/>
    <col min="2562" max="2562" width="21.42578125" customWidth="1"/>
    <col min="2563" max="2569" width="20.7109375" customWidth="1"/>
    <col min="2816" max="2817" width="20.7109375" customWidth="1"/>
    <col min="2818" max="2818" width="21.42578125" customWidth="1"/>
    <col min="2819" max="2825" width="20.7109375" customWidth="1"/>
    <col min="3072" max="3073" width="20.7109375" customWidth="1"/>
    <col min="3074" max="3074" width="21.42578125" customWidth="1"/>
    <col min="3075" max="3081" width="20.7109375" customWidth="1"/>
    <col min="3328" max="3329" width="20.7109375" customWidth="1"/>
    <col min="3330" max="3330" width="21.42578125" customWidth="1"/>
    <col min="3331" max="3337" width="20.7109375" customWidth="1"/>
    <col min="3584" max="3585" width="20.7109375" customWidth="1"/>
    <col min="3586" max="3586" width="21.42578125" customWidth="1"/>
    <col min="3587" max="3593" width="20.7109375" customWidth="1"/>
    <col min="3840" max="3841" width="20.7109375" customWidth="1"/>
    <col min="3842" max="3842" width="21.42578125" customWidth="1"/>
    <col min="3843" max="3849" width="20.7109375" customWidth="1"/>
    <col min="4096" max="4097" width="20.7109375" customWidth="1"/>
    <col min="4098" max="4098" width="21.42578125" customWidth="1"/>
    <col min="4099" max="4105" width="20.7109375" customWidth="1"/>
    <col min="4352" max="4353" width="20.7109375" customWidth="1"/>
    <col min="4354" max="4354" width="21.42578125" customWidth="1"/>
    <col min="4355" max="4361" width="20.7109375" customWidth="1"/>
    <col min="4608" max="4609" width="20.7109375" customWidth="1"/>
    <col min="4610" max="4610" width="21.42578125" customWidth="1"/>
    <col min="4611" max="4617" width="20.7109375" customWidth="1"/>
    <col min="4864" max="4865" width="20.7109375" customWidth="1"/>
    <col min="4866" max="4866" width="21.42578125" customWidth="1"/>
    <col min="4867" max="4873" width="20.7109375" customWidth="1"/>
    <col min="5120" max="5121" width="20.7109375" customWidth="1"/>
    <col min="5122" max="5122" width="21.42578125" customWidth="1"/>
    <col min="5123" max="5129" width="20.7109375" customWidth="1"/>
    <col min="5376" max="5377" width="20.7109375" customWidth="1"/>
    <col min="5378" max="5378" width="21.42578125" customWidth="1"/>
    <col min="5379" max="5385" width="20.7109375" customWidth="1"/>
    <col min="5632" max="5633" width="20.7109375" customWidth="1"/>
    <col min="5634" max="5634" width="21.42578125" customWidth="1"/>
    <col min="5635" max="5641" width="20.7109375" customWidth="1"/>
    <col min="5888" max="5889" width="20.7109375" customWidth="1"/>
    <col min="5890" max="5890" width="21.42578125" customWidth="1"/>
    <col min="5891" max="5897" width="20.7109375" customWidth="1"/>
    <col min="6144" max="6145" width="20.7109375" customWidth="1"/>
    <col min="6146" max="6146" width="21.42578125" customWidth="1"/>
    <col min="6147" max="6153" width="20.7109375" customWidth="1"/>
    <col min="6400" max="6401" width="20.7109375" customWidth="1"/>
    <col min="6402" max="6402" width="21.42578125" customWidth="1"/>
    <col min="6403" max="6409" width="20.7109375" customWidth="1"/>
    <col min="6656" max="6657" width="20.7109375" customWidth="1"/>
    <col min="6658" max="6658" width="21.42578125" customWidth="1"/>
    <col min="6659" max="6665" width="20.7109375" customWidth="1"/>
    <col min="6912" max="6913" width="20.7109375" customWidth="1"/>
    <col min="6914" max="6914" width="21.42578125" customWidth="1"/>
    <col min="6915" max="6921" width="20.7109375" customWidth="1"/>
    <col min="7168" max="7169" width="20.7109375" customWidth="1"/>
    <col min="7170" max="7170" width="21.42578125" customWidth="1"/>
    <col min="7171" max="7177" width="20.7109375" customWidth="1"/>
    <col min="7424" max="7425" width="20.7109375" customWidth="1"/>
    <col min="7426" max="7426" width="21.42578125" customWidth="1"/>
    <col min="7427" max="7433" width="20.7109375" customWidth="1"/>
    <col min="7680" max="7681" width="20.7109375" customWidth="1"/>
    <col min="7682" max="7682" width="21.42578125" customWidth="1"/>
    <col min="7683" max="7689" width="20.7109375" customWidth="1"/>
    <col min="7936" max="7937" width="20.7109375" customWidth="1"/>
    <col min="7938" max="7938" width="21.42578125" customWidth="1"/>
    <col min="7939" max="7945" width="20.7109375" customWidth="1"/>
    <col min="8192" max="8193" width="20.7109375" customWidth="1"/>
    <col min="8194" max="8194" width="21.42578125" customWidth="1"/>
    <col min="8195" max="8201" width="20.7109375" customWidth="1"/>
    <col min="8448" max="8449" width="20.7109375" customWidth="1"/>
    <col min="8450" max="8450" width="21.42578125" customWidth="1"/>
    <col min="8451" max="8457" width="20.7109375" customWidth="1"/>
    <col min="8704" max="8705" width="20.7109375" customWidth="1"/>
    <col min="8706" max="8706" width="21.42578125" customWidth="1"/>
    <col min="8707" max="8713" width="20.7109375" customWidth="1"/>
    <col min="8960" max="8961" width="20.7109375" customWidth="1"/>
    <col min="8962" max="8962" width="21.42578125" customWidth="1"/>
    <col min="8963" max="8969" width="20.7109375" customWidth="1"/>
    <col min="9216" max="9217" width="20.7109375" customWidth="1"/>
    <col min="9218" max="9218" width="21.42578125" customWidth="1"/>
    <col min="9219" max="9225" width="20.7109375" customWidth="1"/>
    <col min="9472" max="9473" width="20.7109375" customWidth="1"/>
    <col min="9474" max="9474" width="21.42578125" customWidth="1"/>
    <col min="9475" max="9481" width="20.7109375" customWidth="1"/>
    <col min="9728" max="9729" width="20.7109375" customWidth="1"/>
    <col min="9730" max="9730" width="21.42578125" customWidth="1"/>
    <col min="9731" max="9737" width="20.7109375" customWidth="1"/>
    <col min="9984" max="9985" width="20.7109375" customWidth="1"/>
    <col min="9986" max="9986" width="21.42578125" customWidth="1"/>
    <col min="9987" max="9993" width="20.7109375" customWidth="1"/>
    <col min="10240" max="10241" width="20.7109375" customWidth="1"/>
    <col min="10242" max="10242" width="21.42578125" customWidth="1"/>
    <col min="10243" max="10249" width="20.7109375" customWidth="1"/>
    <col min="10496" max="10497" width="20.7109375" customWidth="1"/>
    <col min="10498" max="10498" width="21.42578125" customWidth="1"/>
    <col min="10499" max="10505" width="20.7109375" customWidth="1"/>
    <col min="10752" max="10753" width="20.7109375" customWidth="1"/>
    <col min="10754" max="10754" width="21.42578125" customWidth="1"/>
    <col min="10755" max="10761" width="20.7109375" customWidth="1"/>
    <col min="11008" max="11009" width="20.7109375" customWidth="1"/>
    <col min="11010" max="11010" width="21.42578125" customWidth="1"/>
    <col min="11011" max="11017" width="20.7109375" customWidth="1"/>
    <col min="11264" max="11265" width="20.7109375" customWidth="1"/>
    <col min="11266" max="11266" width="21.42578125" customWidth="1"/>
    <col min="11267" max="11273" width="20.7109375" customWidth="1"/>
    <col min="11520" max="11521" width="20.7109375" customWidth="1"/>
    <col min="11522" max="11522" width="21.42578125" customWidth="1"/>
    <col min="11523" max="11529" width="20.7109375" customWidth="1"/>
    <col min="11776" max="11777" width="20.7109375" customWidth="1"/>
    <col min="11778" max="11778" width="21.42578125" customWidth="1"/>
    <col min="11779" max="11785" width="20.7109375" customWidth="1"/>
    <col min="12032" max="12033" width="20.7109375" customWidth="1"/>
    <col min="12034" max="12034" width="21.42578125" customWidth="1"/>
    <col min="12035" max="12041" width="20.7109375" customWidth="1"/>
    <col min="12288" max="12289" width="20.7109375" customWidth="1"/>
    <col min="12290" max="12290" width="21.42578125" customWidth="1"/>
    <col min="12291" max="12297" width="20.7109375" customWidth="1"/>
    <col min="12544" max="12545" width="20.7109375" customWidth="1"/>
    <col min="12546" max="12546" width="21.42578125" customWidth="1"/>
    <col min="12547" max="12553" width="20.7109375" customWidth="1"/>
    <col min="12800" max="12801" width="20.7109375" customWidth="1"/>
    <col min="12802" max="12802" width="21.42578125" customWidth="1"/>
    <col min="12803" max="12809" width="20.7109375" customWidth="1"/>
    <col min="13056" max="13057" width="20.7109375" customWidth="1"/>
    <col min="13058" max="13058" width="21.42578125" customWidth="1"/>
    <col min="13059" max="13065" width="20.7109375" customWidth="1"/>
    <col min="13312" max="13313" width="20.7109375" customWidth="1"/>
    <col min="13314" max="13314" width="21.42578125" customWidth="1"/>
    <col min="13315" max="13321" width="20.7109375" customWidth="1"/>
    <col min="13568" max="13569" width="20.7109375" customWidth="1"/>
    <col min="13570" max="13570" width="21.42578125" customWidth="1"/>
    <col min="13571" max="13577" width="20.7109375" customWidth="1"/>
    <col min="13824" max="13825" width="20.7109375" customWidth="1"/>
    <col min="13826" max="13826" width="21.42578125" customWidth="1"/>
    <col min="13827" max="13833" width="20.7109375" customWidth="1"/>
    <col min="14080" max="14081" width="20.7109375" customWidth="1"/>
    <col min="14082" max="14082" width="21.42578125" customWidth="1"/>
    <col min="14083" max="14089" width="20.7109375" customWidth="1"/>
    <col min="14336" max="14337" width="20.7109375" customWidth="1"/>
    <col min="14338" max="14338" width="21.42578125" customWidth="1"/>
    <col min="14339" max="14345" width="20.7109375" customWidth="1"/>
    <col min="14592" max="14593" width="20.7109375" customWidth="1"/>
    <col min="14594" max="14594" width="21.42578125" customWidth="1"/>
    <col min="14595" max="14601" width="20.7109375" customWidth="1"/>
    <col min="14848" max="14849" width="20.7109375" customWidth="1"/>
    <col min="14850" max="14850" width="21.42578125" customWidth="1"/>
    <col min="14851" max="14857" width="20.7109375" customWidth="1"/>
    <col min="15104" max="15105" width="20.7109375" customWidth="1"/>
    <col min="15106" max="15106" width="21.42578125" customWidth="1"/>
    <col min="15107" max="15113" width="20.7109375" customWidth="1"/>
    <col min="15360" max="15361" width="20.7109375" customWidth="1"/>
    <col min="15362" max="15362" width="21.42578125" customWidth="1"/>
    <col min="15363" max="15369" width="20.7109375" customWidth="1"/>
    <col min="15616" max="15617" width="20.7109375" customWidth="1"/>
    <col min="15618" max="15618" width="21.42578125" customWidth="1"/>
    <col min="15619" max="15625" width="20.7109375" customWidth="1"/>
    <col min="15872" max="15873" width="20.7109375" customWidth="1"/>
    <col min="15874" max="15874" width="21.42578125" customWidth="1"/>
    <col min="15875" max="15881" width="20.7109375" customWidth="1"/>
    <col min="16128" max="16129" width="20.7109375" customWidth="1"/>
    <col min="16130" max="16130" width="21.42578125" customWidth="1"/>
    <col min="16131" max="16137" width="20.7109375" customWidth="1"/>
  </cols>
  <sheetData>
    <row r="1" spans="1:11" s="41" customFormat="1" ht="156.75" customHeight="1" thickBot="1">
      <c r="A1" s="509" t="s">
        <v>0</v>
      </c>
      <c r="B1" s="510"/>
      <c r="C1" s="510"/>
      <c r="D1" s="510"/>
      <c r="E1" s="307"/>
      <c r="F1" s="308"/>
      <c r="G1" s="308"/>
      <c r="H1" s="308"/>
      <c r="I1" s="308"/>
      <c r="J1" s="308"/>
      <c r="K1" s="309"/>
    </row>
    <row r="2" spans="1:11" s="41" customFormat="1" ht="19.5" customHeight="1">
      <c r="A2" s="154"/>
      <c r="B2" s="116"/>
      <c r="C2" s="116"/>
      <c r="J2" s="116"/>
      <c r="K2" s="117"/>
    </row>
    <row r="3" spans="1:11" s="41" customFormat="1" ht="27" customHeight="1">
      <c r="A3" s="532" t="s">
        <v>17</v>
      </c>
      <c r="B3" s="533"/>
      <c r="C3" s="533"/>
      <c r="D3" s="533"/>
      <c r="E3" s="533"/>
      <c r="F3" s="533"/>
      <c r="G3" s="533"/>
      <c r="H3" s="533"/>
      <c r="I3" s="533"/>
      <c r="J3" s="533"/>
      <c r="K3" s="534"/>
    </row>
    <row r="4" spans="1:11" s="41" customFormat="1" ht="14.85" customHeight="1">
      <c r="A4" s="310"/>
      <c r="B4" s="311"/>
      <c r="C4" s="311"/>
      <c r="D4" s="311"/>
      <c r="E4" s="311"/>
      <c r="F4" s="311"/>
      <c r="G4" s="311"/>
      <c r="H4" s="311"/>
      <c r="I4" s="311"/>
      <c r="J4" s="311"/>
      <c r="K4" s="312"/>
    </row>
    <row r="5" spans="1:11" s="41" customFormat="1" ht="14.85" customHeight="1">
      <c r="A5" s="9" t="s">
        <v>18</v>
      </c>
      <c r="B5" s="301" t="s">
        <v>19</v>
      </c>
      <c r="C5" s="302"/>
      <c r="D5" s="302"/>
      <c r="E5" s="311"/>
      <c r="F5" s="313" t="s">
        <v>20</v>
      </c>
      <c r="G5" s="305" t="s">
        <v>21</v>
      </c>
      <c r="H5" s="306"/>
      <c r="I5" s="302"/>
      <c r="J5" s="302"/>
      <c r="K5" s="312"/>
    </row>
    <row r="6" spans="1:11" s="41" customFormat="1" ht="14.85" customHeight="1">
      <c r="A6" s="9" t="s">
        <v>22</v>
      </c>
      <c r="B6" s="301" t="s">
        <v>23</v>
      </c>
      <c r="C6" s="302"/>
      <c r="D6" s="303"/>
      <c r="E6" s="311"/>
      <c r="F6" s="314" t="s">
        <v>24</v>
      </c>
      <c r="G6" s="531"/>
      <c r="H6" s="531"/>
      <c r="I6" s="315"/>
      <c r="J6" s="316"/>
      <c r="K6" s="312"/>
    </row>
    <row r="7" spans="1:11" s="41" customFormat="1" ht="14.85" customHeight="1">
      <c r="A7" s="128" t="s">
        <v>25</v>
      </c>
      <c r="B7" s="301"/>
      <c r="C7" s="302"/>
      <c r="D7" s="303"/>
      <c r="E7" s="311"/>
      <c r="F7" s="317" t="s">
        <v>26</v>
      </c>
      <c r="G7" s="318"/>
      <c r="H7" s="319"/>
      <c r="I7" s="317"/>
      <c r="J7" s="319"/>
      <c r="K7" s="312"/>
    </row>
    <row r="8" spans="1:11" s="41" customFormat="1">
      <c r="A8" s="162" t="s">
        <v>27</v>
      </c>
      <c r="B8" s="301"/>
      <c r="C8" s="302"/>
      <c r="D8" s="304"/>
      <c r="F8" s="93" t="s">
        <v>28</v>
      </c>
      <c r="G8" s="93"/>
      <c r="H8" s="619"/>
      <c r="I8" s="619"/>
      <c r="J8" s="320"/>
      <c r="K8" s="321"/>
    </row>
    <row r="9" spans="1:11" s="41" customFormat="1">
      <c r="A9" s="162" t="s">
        <v>29</v>
      </c>
      <c r="B9" s="301"/>
      <c r="C9" s="302"/>
      <c r="D9" s="304"/>
      <c r="F9" s="93" t="s">
        <v>30</v>
      </c>
      <c r="G9" s="93"/>
      <c r="H9" s="620"/>
      <c r="I9" s="620"/>
      <c r="J9" s="320"/>
      <c r="K9" s="321"/>
    </row>
    <row r="10" spans="1:11" s="41" customFormat="1">
      <c r="A10" s="162"/>
      <c r="B10" s="322"/>
      <c r="C10" s="316"/>
      <c r="D10" s="323"/>
      <c r="F10" s="93"/>
      <c r="G10" s="93"/>
      <c r="H10" s="16"/>
      <c r="I10" s="16"/>
      <c r="J10" s="320"/>
      <c r="K10" s="321"/>
    </row>
    <row r="11" spans="1:11" s="41" customFormat="1" ht="27" customHeight="1">
      <c r="A11" s="532" t="s">
        <v>31</v>
      </c>
      <c r="B11" s="533"/>
      <c r="C11" s="533"/>
      <c r="D11" s="533"/>
      <c r="E11" s="533"/>
      <c r="F11" s="533"/>
      <c r="G11" s="533"/>
      <c r="H11" s="533"/>
      <c r="I11" s="533"/>
      <c r="J11" s="533"/>
      <c r="K11" s="534"/>
    </row>
    <row r="12" spans="1:11" s="41" customFormat="1" ht="15" thickBot="1">
      <c r="A12" s="162"/>
      <c r="B12" s="1"/>
      <c r="C12" s="1"/>
      <c r="D12" s="324"/>
      <c r="E12" s="52"/>
      <c r="F12" s="52"/>
      <c r="G12" s="325"/>
      <c r="H12" s="324"/>
      <c r="I12" s="324"/>
      <c r="J12" s="326"/>
      <c r="K12" s="321"/>
    </row>
    <row r="13" spans="1:11" ht="15" customHeight="1">
      <c r="A13" s="593" t="s">
        <v>32</v>
      </c>
      <c r="B13" s="594"/>
      <c r="C13" s="594"/>
      <c r="D13" s="594"/>
      <c r="E13" s="594"/>
      <c r="F13" s="594"/>
      <c r="G13" s="594"/>
      <c r="H13" s="594"/>
      <c r="I13" s="594"/>
      <c r="J13" s="594"/>
      <c r="K13" s="595"/>
    </row>
    <row r="14" spans="1:11" s="65" customFormat="1">
      <c r="A14" s="616"/>
      <c r="B14" s="608"/>
      <c r="C14" s="608"/>
      <c r="D14" s="608"/>
      <c r="E14" s="617" t="s">
        <v>33</v>
      </c>
      <c r="F14" s="617"/>
      <c r="G14" s="608" t="s">
        <v>34</v>
      </c>
      <c r="H14" s="608"/>
      <c r="I14" s="608" t="s">
        <v>35</v>
      </c>
      <c r="J14" s="608"/>
      <c r="K14" s="61"/>
    </row>
    <row r="15" spans="1:11" ht="15" customHeight="1">
      <c r="A15" s="609" t="s">
        <v>36</v>
      </c>
      <c r="B15" s="610"/>
      <c r="C15" s="610"/>
      <c r="D15" s="610"/>
      <c r="E15" s="611">
        <v>1</v>
      </c>
      <c r="F15" s="611"/>
      <c r="G15" s="618">
        <f>+ATAN(E15/100)*180/PI()</f>
        <v>0.57293869768348593</v>
      </c>
      <c r="H15" s="618"/>
      <c r="I15" s="621">
        <f>+G15*PI()/180</f>
        <v>9.9996666866652376E-3</v>
      </c>
      <c r="J15" s="621"/>
      <c r="K15" s="61"/>
    </row>
    <row r="16" spans="1:11" ht="15" customHeight="1">
      <c r="A16" s="609" t="s">
        <v>37</v>
      </c>
      <c r="B16" s="610"/>
      <c r="C16" s="610"/>
      <c r="D16" s="610"/>
      <c r="E16" s="611">
        <v>50</v>
      </c>
      <c r="F16" s="611"/>
      <c r="G16" s="618">
        <f>+ATAN(E16/100)*180/PI()</f>
        <v>26.56505117707799</v>
      </c>
      <c r="H16" s="618"/>
      <c r="I16" s="621">
        <f>+G16*PI()/180</f>
        <v>0.46364760900080615</v>
      </c>
      <c r="J16" s="621"/>
      <c r="K16" s="61"/>
    </row>
    <row r="17" spans="1:12" ht="15" customHeight="1">
      <c r="A17" s="609" t="s">
        <v>38</v>
      </c>
      <c r="B17" s="610"/>
      <c r="C17" s="610"/>
      <c r="D17" s="610"/>
      <c r="E17" s="611">
        <v>8</v>
      </c>
      <c r="F17" s="611"/>
      <c r="G17" s="327" t="str">
        <f>IF(E17&gt;8," ==&gt; Use Shear and Velocity Method","==&gt; Use Hydraulic Stability Method")</f>
        <v>==&gt; Use Hydraulic Stability Method</v>
      </c>
      <c r="H17" s="328"/>
      <c r="I17" s="329"/>
      <c r="J17" s="329"/>
      <c r="K17" s="61"/>
    </row>
    <row r="18" spans="1:12" ht="15" customHeight="1">
      <c r="A18" s="609" t="s">
        <v>39</v>
      </c>
      <c r="B18" s="610"/>
      <c r="C18" s="610"/>
      <c r="D18" s="610"/>
      <c r="E18" s="611">
        <f>1.9*(8/6.5)^2</f>
        <v>2.87810650887574</v>
      </c>
      <c r="F18" s="611"/>
      <c r="G18" s="608"/>
      <c r="H18" s="608"/>
      <c r="I18" s="608"/>
      <c r="J18" s="608"/>
      <c r="K18" s="61"/>
    </row>
    <row r="19" spans="1:12" ht="15" customHeight="1">
      <c r="A19" s="609" t="s">
        <v>40</v>
      </c>
      <c r="B19" s="610"/>
      <c r="C19" s="610"/>
      <c r="D19" s="610"/>
      <c r="E19" s="611">
        <v>0.48</v>
      </c>
      <c r="F19" s="611"/>
      <c r="G19" s="608"/>
      <c r="H19" s="608"/>
      <c r="I19" s="608"/>
      <c r="J19" s="608"/>
      <c r="K19" s="61"/>
    </row>
    <row r="20" spans="1:12" ht="15" customHeight="1">
      <c r="A20" s="596"/>
      <c r="B20" s="597"/>
      <c r="C20" s="597"/>
      <c r="D20" s="597"/>
      <c r="E20" s="597"/>
      <c r="F20" s="597"/>
      <c r="G20" s="597"/>
      <c r="H20" s="597"/>
      <c r="I20" s="597"/>
      <c r="J20" s="597"/>
      <c r="K20" s="598"/>
    </row>
    <row r="21" spans="1:12" ht="28.35" customHeight="1">
      <c r="A21" s="330" t="s">
        <v>41</v>
      </c>
      <c r="B21" s="331"/>
      <c r="C21" s="331"/>
      <c r="D21" s="331"/>
      <c r="E21" s="599" t="s">
        <v>42</v>
      </c>
      <c r="F21" s="599"/>
      <c r="G21" s="332"/>
      <c r="H21" s="333"/>
      <c r="I21" s="333"/>
      <c r="J21" s="334"/>
      <c r="K21" s="61"/>
    </row>
    <row r="22" spans="1:12">
      <c r="A22" s="600"/>
      <c r="B22" s="601"/>
      <c r="C22" s="601"/>
      <c r="D22" s="601"/>
      <c r="E22" s="601"/>
      <c r="F22" s="601"/>
      <c r="G22" s="601"/>
      <c r="H22" s="601"/>
      <c r="I22" s="601"/>
      <c r="J22" s="601"/>
      <c r="K22" s="602"/>
    </row>
    <row r="23" spans="1:12" ht="19.5" customHeight="1">
      <c r="A23" s="603" t="s">
        <v>43</v>
      </c>
      <c r="B23" s="604"/>
      <c r="C23" s="604"/>
      <c r="D23" s="604"/>
      <c r="E23" s="605">
        <v>62.4</v>
      </c>
      <c r="F23" s="605"/>
      <c r="G23" s="612" t="s">
        <v>44</v>
      </c>
      <c r="H23" s="612"/>
      <c r="I23" s="612"/>
      <c r="J23" s="612"/>
      <c r="K23" s="613"/>
    </row>
    <row r="24" spans="1:12" ht="16.5">
      <c r="A24" s="606" t="s">
        <v>45</v>
      </c>
      <c r="B24" s="607"/>
      <c r="C24" s="607"/>
      <c r="D24" s="607"/>
      <c r="E24" s="592">
        <v>131</v>
      </c>
      <c r="F24" s="592"/>
      <c r="G24" s="614"/>
      <c r="H24" s="614"/>
      <c r="I24" s="614"/>
      <c r="J24" s="614"/>
      <c r="K24" s="615"/>
    </row>
    <row r="25" spans="1:12" ht="10.5" customHeight="1">
      <c r="A25" s="59"/>
      <c r="B25" s="60"/>
      <c r="C25" s="60"/>
      <c r="D25" s="60"/>
      <c r="E25" s="60"/>
      <c r="F25" s="60"/>
      <c r="G25" s="60"/>
      <c r="H25" s="60"/>
      <c r="I25" s="60"/>
      <c r="J25" s="60"/>
      <c r="K25" s="61"/>
    </row>
    <row r="26" spans="1:12" ht="10.5" customHeight="1" thickBot="1">
      <c r="A26" s="97"/>
      <c r="B26" s="98"/>
      <c r="C26" s="98"/>
      <c r="D26" s="98"/>
      <c r="E26" s="98"/>
      <c r="F26" s="98"/>
      <c r="G26" s="98"/>
      <c r="H26" s="98"/>
      <c r="I26" s="98"/>
      <c r="J26" s="98"/>
      <c r="K26" s="99"/>
      <c r="L26" s="335"/>
    </row>
    <row r="27" spans="1:12" ht="23.25" customHeight="1">
      <c r="A27" s="336" t="s">
        <v>46</v>
      </c>
      <c r="B27" s="337"/>
      <c r="C27" s="337"/>
      <c r="D27" s="337"/>
      <c r="E27" s="337"/>
      <c r="F27" s="337"/>
      <c r="G27" s="337"/>
      <c r="H27" s="337"/>
      <c r="I27" s="337"/>
      <c r="J27" s="337"/>
      <c r="K27" s="338"/>
    </row>
    <row r="28" spans="1:12" ht="15" customHeight="1" thickBot="1">
      <c r="A28" s="475"/>
      <c r="B28" s="476"/>
      <c r="C28" s="476"/>
      <c r="D28" s="476"/>
      <c r="E28" s="476"/>
      <c r="F28" s="476"/>
      <c r="G28" s="476"/>
      <c r="H28" s="476"/>
      <c r="I28" s="476"/>
      <c r="J28" s="476"/>
      <c r="K28" s="477"/>
    </row>
    <row r="29" spans="1:12" ht="15" customHeight="1">
      <c r="A29" s="528" t="s">
        <v>47</v>
      </c>
      <c r="B29" s="529"/>
      <c r="C29" s="529"/>
      <c r="D29" s="529"/>
      <c r="E29" s="529"/>
      <c r="F29" s="529"/>
      <c r="G29" s="529"/>
      <c r="H29" s="529"/>
      <c r="I29" s="529"/>
      <c r="J29" s="529"/>
      <c r="K29" s="530"/>
    </row>
    <row r="30" spans="1:12" ht="15" customHeight="1">
      <c r="A30" s="578" t="s">
        <v>48</v>
      </c>
      <c r="B30" s="579"/>
      <c r="C30" s="579"/>
      <c r="D30" s="580"/>
      <c r="E30" s="538">
        <v>7.2</v>
      </c>
      <c r="F30" s="539"/>
      <c r="G30" s="339"/>
      <c r="I30" s="340"/>
      <c r="J30" s="340"/>
      <c r="K30" s="341"/>
    </row>
    <row r="31" spans="1:12" ht="15" customHeight="1">
      <c r="A31" s="535" t="s">
        <v>49</v>
      </c>
      <c r="B31" s="536"/>
      <c r="C31" s="536"/>
      <c r="D31" s="537"/>
      <c r="E31" s="540">
        <v>11.4</v>
      </c>
      <c r="F31" s="541"/>
      <c r="G31" s="342"/>
      <c r="H31" s="245"/>
      <c r="I31" s="343"/>
      <c r="J31" s="343"/>
      <c r="K31" s="344"/>
    </row>
    <row r="32" spans="1:12" ht="15" customHeight="1">
      <c r="A32" s="535" t="s">
        <v>50</v>
      </c>
      <c r="B32" s="536"/>
      <c r="C32" s="536"/>
      <c r="D32" s="537"/>
      <c r="E32" s="540" t="s">
        <v>51</v>
      </c>
      <c r="F32" s="541"/>
      <c r="G32" s="345"/>
      <c r="H32" s="550" t="s">
        <v>52</v>
      </c>
      <c r="I32" s="550"/>
      <c r="J32" s="550"/>
      <c r="K32" s="551"/>
    </row>
    <row r="33" spans="1:12" ht="15" customHeight="1">
      <c r="A33" s="535" t="s">
        <v>53</v>
      </c>
      <c r="B33" s="536"/>
      <c r="C33" s="536"/>
      <c r="D33" s="537"/>
      <c r="E33" s="540">
        <v>1.2</v>
      </c>
      <c r="F33" s="541"/>
      <c r="G33" s="346"/>
      <c r="H33" s="333"/>
      <c r="I33" s="347"/>
      <c r="J33" s="348"/>
      <c r="K33" s="349"/>
    </row>
    <row r="34" spans="1:12" ht="15" customHeight="1">
      <c r="A34" s="535" t="s">
        <v>54</v>
      </c>
      <c r="B34" s="536"/>
      <c r="C34" s="536"/>
      <c r="D34" s="537"/>
      <c r="E34" s="542">
        <f>+E16</f>
        <v>50</v>
      </c>
      <c r="F34" s="543"/>
      <c r="G34" s="32">
        <f>(ATAN(E34/100))*180/PI()</f>
        <v>26.56505117707799</v>
      </c>
      <c r="H34" s="33" t="s">
        <v>55</v>
      </c>
      <c r="I34" s="355">
        <f>ATAN(E34/100)</f>
        <v>0.46364760900080609</v>
      </c>
      <c r="J34" s="443" t="s">
        <v>56</v>
      </c>
      <c r="K34" s="26"/>
    </row>
    <row r="35" spans="1:12" ht="15" customHeight="1">
      <c r="A35" s="535" t="s">
        <v>57</v>
      </c>
      <c r="B35" s="536"/>
      <c r="C35" s="536"/>
      <c r="D35" s="537"/>
      <c r="E35" s="544">
        <f>+E23</f>
        <v>62.4</v>
      </c>
      <c r="F35" s="545"/>
      <c r="G35" s="583" t="s">
        <v>58</v>
      </c>
      <c r="H35" s="584"/>
      <c r="I35" s="584"/>
      <c r="J35" s="584"/>
      <c r="K35" s="585"/>
    </row>
    <row r="36" spans="1:12" ht="15" customHeight="1">
      <c r="A36" s="535" t="s">
        <v>59</v>
      </c>
      <c r="B36" s="536"/>
      <c r="C36" s="536"/>
      <c r="D36" s="537"/>
      <c r="E36" s="546">
        <v>158.5</v>
      </c>
      <c r="F36" s="547"/>
      <c r="G36" s="586"/>
      <c r="H36" s="587"/>
      <c r="I36" s="587"/>
      <c r="J36" s="587"/>
      <c r="K36" s="588"/>
    </row>
    <row r="37" spans="1:12" ht="10.35" customHeight="1">
      <c r="A37" s="581"/>
      <c r="B37" s="582"/>
      <c r="C37" s="582"/>
      <c r="D37" s="582"/>
      <c r="E37" s="582"/>
      <c r="F37" s="582"/>
      <c r="G37" s="582"/>
      <c r="H37" s="582"/>
      <c r="I37" s="350"/>
      <c r="J37" s="340"/>
      <c r="K37" s="341"/>
      <c r="L37" s="340"/>
    </row>
    <row r="38" spans="1:12" ht="10.35" customHeight="1" thickBot="1">
      <c r="A38" s="462"/>
      <c r="B38" s="350"/>
      <c r="C38" s="350"/>
      <c r="D38" s="350"/>
      <c r="E38" s="350"/>
      <c r="F38" s="350"/>
      <c r="G38" s="350"/>
      <c r="H38" s="350"/>
      <c r="I38" s="351"/>
      <c r="K38" s="352"/>
      <c r="L38" s="351"/>
    </row>
    <row r="39" spans="1:12" ht="15" customHeight="1">
      <c r="A39" s="589" t="s">
        <v>60</v>
      </c>
      <c r="B39" s="590"/>
      <c r="C39" s="590"/>
      <c r="D39" s="590"/>
      <c r="E39" s="590"/>
      <c r="F39" s="590"/>
      <c r="G39" s="590"/>
      <c r="H39" s="590"/>
      <c r="I39" s="590"/>
      <c r="J39" s="590"/>
      <c r="K39" s="591"/>
    </row>
    <row r="40" spans="1:12" ht="15" customHeight="1">
      <c r="A40" s="569" t="s">
        <v>61</v>
      </c>
      <c r="B40" s="570"/>
      <c r="C40" s="570"/>
      <c r="D40" s="570"/>
      <c r="E40" s="565" t="s">
        <v>62</v>
      </c>
      <c r="F40" s="566"/>
      <c r="G40" s="353"/>
      <c r="H40" s="548" t="s">
        <v>63</v>
      </c>
      <c r="I40" s="548"/>
      <c r="J40" s="548"/>
      <c r="K40" s="549"/>
    </row>
    <row r="41" spans="1:12" ht="15" customHeight="1">
      <c r="A41" s="569" t="s">
        <v>64</v>
      </c>
      <c r="B41" s="570"/>
      <c r="C41" s="570"/>
      <c r="D41" s="570"/>
      <c r="E41" s="567"/>
      <c r="F41" s="568"/>
      <c r="G41" s="354"/>
      <c r="H41" s="550"/>
      <c r="I41" s="550"/>
      <c r="J41" s="550"/>
      <c r="K41" s="551"/>
    </row>
    <row r="42" spans="1:12" ht="15" customHeight="1">
      <c r="A42" s="569"/>
      <c r="B42" s="570"/>
      <c r="C42" s="570"/>
      <c r="D42" s="570"/>
      <c r="E42" s="575"/>
      <c r="F42" s="575"/>
      <c r="G42" s="356"/>
      <c r="H42" s="357"/>
      <c r="I42" s="357"/>
      <c r="J42" s="357"/>
      <c r="K42" s="363"/>
    </row>
    <row r="43" spans="1:12" ht="15" customHeight="1">
      <c r="A43" s="569" t="s">
        <v>65</v>
      </c>
      <c r="B43" s="570"/>
      <c r="C43" s="570"/>
      <c r="D43" s="570"/>
      <c r="E43" s="576"/>
      <c r="F43" s="577"/>
      <c r="G43" s="339"/>
      <c r="H43" s="362"/>
      <c r="I43" s="362"/>
      <c r="J43" s="362"/>
      <c r="K43" s="363"/>
    </row>
    <row r="44" spans="1:12" ht="15" customHeight="1">
      <c r="A44" s="569" t="s">
        <v>66</v>
      </c>
      <c r="B44" s="570"/>
      <c r="C44" s="570"/>
      <c r="D44" s="571"/>
      <c r="E44" s="561">
        <v>500</v>
      </c>
      <c r="F44" s="562"/>
      <c r="G44" s="339"/>
      <c r="H44" s="362"/>
      <c r="I44" s="362"/>
      <c r="J44" s="362"/>
      <c r="K44" s="363"/>
    </row>
    <row r="45" spans="1:12" ht="15" customHeight="1" thickBot="1">
      <c r="A45" s="572" t="s">
        <v>67</v>
      </c>
      <c r="B45" s="573"/>
      <c r="C45" s="573"/>
      <c r="D45" s="574"/>
      <c r="E45" s="563">
        <v>100</v>
      </c>
      <c r="F45" s="564"/>
      <c r="G45" s="358"/>
      <c r="H45" s="364"/>
      <c r="I45" s="364"/>
      <c r="J45" s="364"/>
      <c r="K45" s="365"/>
    </row>
    <row r="46" spans="1:12" ht="11.45" customHeight="1">
      <c r="A46" s="462"/>
      <c r="B46" s="350"/>
      <c r="C46" s="350"/>
      <c r="D46" s="350"/>
      <c r="E46" s="350"/>
      <c r="F46" s="340"/>
      <c r="G46" s="340"/>
      <c r="H46" s="362"/>
      <c r="I46" s="362"/>
      <c r="J46" s="362"/>
      <c r="K46" s="363"/>
    </row>
    <row r="47" spans="1:12" ht="11.45" customHeight="1" thickBot="1">
      <c r="A47" s="462"/>
      <c r="B47" s="350"/>
      <c r="C47" s="350"/>
      <c r="D47" s="350"/>
      <c r="E47" s="350"/>
      <c r="F47" s="340"/>
      <c r="G47" s="340"/>
      <c r="H47" s="359"/>
      <c r="I47" s="360"/>
      <c r="J47" s="360"/>
      <c r="K47" s="361"/>
    </row>
    <row r="48" spans="1:12" ht="15" customHeight="1">
      <c r="A48" s="528" t="s">
        <v>68</v>
      </c>
      <c r="B48" s="529"/>
      <c r="C48" s="529"/>
      <c r="D48" s="529"/>
      <c r="E48" s="529"/>
      <c r="F48" s="529"/>
      <c r="G48" s="529"/>
      <c r="H48" s="529"/>
      <c r="I48" s="529"/>
      <c r="J48" s="529"/>
      <c r="K48" s="530"/>
    </row>
    <row r="49" spans="1:11" ht="15" customHeight="1">
      <c r="A49" s="552" t="s">
        <v>69</v>
      </c>
      <c r="B49" s="553"/>
      <c r="C49" s="553"/>
      <c r="D49" s="553"/>
      <c r="E49" s="554" t="s">
        <v>70</v>
      </c>
      <c r="F49" s="555"/>
      <c r="G49" s="350"/>
      <c r="H49" s="553" t="s">
        <v>71</v>
      </c>
      <c r="I49" s="553"/>
      <c r="J49" s="553"/>
      <c r="K49" s="558"/>
    </row>
    <row r="50" spans="1:11" ht="15" customHeight="1" thickBot="1">
      <c r="A50" s="463" t="s">
        <v>72</v>
      </c>
      <c r="B50" s="464"/>
      <c r="C50" s="464"/>
      <c r="D50" s="464"/>
      <c r="E50" s="556"/>
      <c r="F50" s="557"/>
      <c r="G50" s="476"/>
      <c r="H50" s="559"/>
      <c r="I50" s="559"/>
      <c r="J50" s="559"/>
      <c r="K50" s="560"/>
    </row>
    <row r="51" spans="1:11" ht="11.45" customHeight="1">
      <c r="A51" s="462"/>
      <c r="B51" s="350"/>
      <c r="C51" s="350"/>
      <c r="D51" s="350"/>
      <c r="E51" s="350"/>
      <c r="F51" s="366"/>
      <c r="G51" s="366"/>
      <c r="H51" s="367"/>
      <c r="I51" s="367"/>
      <c r="J51" s="367"/>
      <c r="K51" s="341"/>
    </row>
    <row r="52" spans="1:11" ht="11.45" customHeight="1">
      <c r="A52" s="162"/>
      <c r="K52" s="68"/>
    </row>
    <row r="53" spans="1:11" ht="11.45" customHeight="1" thickBot="1">
      <c r="A53" s="368"/>
      <c r="B53" s="369"/>
      <c r="C53" s="369"/>
      <c r="D53" s="369"/>
      <c r="E53" s="369"/>
      <c r="F53" s="369"/>
      <c r="G53" s="369"/>
      <c r="H53" s="369"/>
      <c r="I53" s="369"/>
      <c r="J53" s="369"/>
      <c r="K53" s="170"/>
    </row>
    <row r="54" spans="1:11" ht="15" customHeight="1"/>
    <row r="55" spans="1:11" ht="15" customHeight="1"/>
    <row r="56" spans="1:11" ht="15" customHeight="1"/>
    <row r="57" spans="1:11" ht="15" customHeight="1"/>
    <row r="58" spans="1:11" ht="15" customHeight="1"/>
    <row r="59" spans="1:11" ht="15" customHeight="1"/>
    <row r="60" spans="1:11" ht="15" customHeight="1"/>
    <row r="61" spans="1:11" ht="15" customHeight="1"/>
    <row r="62" spans="1:11" ht="15" customHeight="1"/>
    <row r="63" spans="1:11" ht="15" customHeight="1"/>
    <row r="64" spans="1:11" ht="15" customHeight="1"/>
  </sheetData>
  <sheetProtection algorithmName="SHA-512" hashValue="ZJ4d0Fb+34x2kqQmEpkhT31xcjrTqcwhTXcg5Eu8zlSiuaevudR0u0ZDh7WRkkcuA7a7CibHiwAekyOpJ7Cc5g==" saltValue="Hfr9wsufz/j+3adQIHULpg==" spinCount="100000" sheet="1" objects="1" scenarios="1"/>
  <protectedRanges>
    <protectedRange password="E285" sqref="G34:J34" name="Range1_1"/>
  </protectedRanges>
  <mergeCells count="72">
    <mergeCell ref="H8:I8"/>
    <mergeCell ref="H9:I9"/>
    <mergeCell ref="A1:D1"/>
    <mergeCell ref="A16:D16"/>
    <mergeCell ref="E16:F16"/>
    <mergeCell ref="I16:J16"/>
    <mergeCell ref="I14:J14"/>
    <mergeCell ref="I15:J15"/>
    <mergeCell ref="A18:D18"/>
    <mergeCell ref="E18:F18"/>
    <mergeCell ref="A14:D14"/>
    <mergeCell ref="E14:F14"/>
    <mergeCell ref="G16:H16"/>
    <mergeCell ref="A17:D17"/>
    <mergeCell ref="E17:F17"/>
    <mergeCell ref="G14:H14"/>
    <mergeCell ref="A15:D15"/>
    <mergeCell ref="E15:F15"/>
    <mergeCell ref="G15:H15"/>
    <mergeCell ref="E24:F24"/>
    <mergeCell ref="A3:K3"/>
    <mergeCell ref="A13:K13"/>
    <mergeCell ref="A20:K20"/>
    <mergeCell ref="E21:F21"/>
    <mergeCell ref="A22:K22"/>
    <mergeCell ref="A23:D23"/>
    <mergeCell ref="E23:F23"/>
    <mergeCell ref="A24:D24"/>
    <mergeCell ref="G18:H18"/>
    <mergeCell ref="I18:J18"/>
    <mergeCell ref="A19:D19"/>
    <mergeCell ref="E19:F19"/>
    <mergeCell ref="G23:K24"/>
    <mergeCell ref="G19:H19"/>
    <mergeCell ref="I19:J19"/>
    <mergeCell ref="A37:H37"/>
    <mergeCell ref="A36:D36"/>
    <mergeCell ref="G35:K36"/>
    <mergeCell ref="A39:K39"/>
    <mergeCell ref="H32:K32"/>
    <mergeCell ref="A49:D49"/>
    <mergeCell ref="E49:F50"/>
    <mergeCell ref="H49:K50"/>
    <mergeCell ref="A29:K29"/>
    <mergeCell ref="E44:F44"/>
    <mergeCell ref="E45:F45"/>
    <mergeCell ref="E40:F41"/>
    <mergeCell ref="A43:D43"/>
    <mergeCell ref="A44:D44"/>
    <mergeCell ref="A45:D45"/>
    <mergeCell ref="A40:D40"/>
    <mergeCell ref="A41:D41"/>
    <mergeCell ref="A42:D42"/>
    <mergeCell ref="E42:F42"/>
    <mergeCell ref="E43:F43"/>
    <mergeCell ref="A30:D30"/>
    <mergeCell ref="A48:K48"/>
    <mergeCell ref="G6:H6"/>
    <mergeCell ref="A11:K11"/>
    <mergeCell ref="A31:D31"/>
    <mergeCell ref="A32:D32"/>
    <mergeCell ref="A33:D33"/>
    <mergeCell ref="A34:D34"/>
    <mergeCell ref="A35:D35"/>
    <mergeCell ref="E30:F30"/>
    <mergeCell ref="E31:F31"/>
    <mergeCell ref="E32:F32"/>
    <mergeCell ref="E33:F33"/>
    <mergeCell ref="E34:F34"/>
    <mergeCell ref="E35:F35"/>
    <mergeCell ref="E36:F36"/>
    <mergeCell ref="H40:K41"/>
  </mergeCells>
  <dataValidations count="1">
    <dataValidation type="list" errorStyle="information" allowBlank="1" showInputMessage="1" showErrorMessage="1" promptTitle="Flow Direction" sqref="E21" xr:uid="{00000000-0002-0000-0100-000000000000}">
      <formula1>"a) Perpendicular to block width (b), b) Other"</formula1>
    </dataValidation>
  </dataValidations>
  <printOptions horizontalCentered="1"/>
  <pageMargins left="0.7" right="0.7" top="0.75" bottom="0.75" header="0.3" footer="0.55000000000000004"/>
  <pageSetup scale="72" orientation="portrait" r:id="rId1"/>
  <headerFooter>
    <oddFooter>&amp;R&amp;10Revision 1/Date 3/2020</oddFooter>
  </headerFooter>
  <rowBreaks count="1" manualBreakCount="1">
    <brk id="26" max="10"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O61"/>
  <sheetViews>
    <sheetView topLeftCell="A44" zoomScale="90" zoomScaleNormal="90" workbookViewId="0">
      <selection activeCell="C22" sqref="C22"/>
    </sheetView>
  </sheetViews>
  <sheetFormatPr defaultRowHeight="14.45"/>
  <cols>
    <col min="1" max="1" width="22.7109375" customWidth="1"/>
    <col min="2" max="3" width="19.5703125" customWidth="1"/>
    <col min="4" max="6" width="16.85546875" customWidth="1"/>
    <col min="7" max="7" width="6.42578125" customWidth="1"/>
    <col min="8" max="11" width="20.7109375" customWidth="1"/>
    <col min="258" max="259" width="20.7109375" customWidth="1"/>
    <col min="260" max="260" width="21.42578125" customWidth="1"/>
    <col min="261" max="267" width="20.7109375" customWidth="1"/>
    <col min="514" max="515" width="20.7109375" customWidth="1"/>
    <col min="516" max="516" width="21.42578125" customWidth="1"/>
    <col min="517" max="523" width="20.7109375" customWidth="1"/>
    <col min="770" max="771" width="20.7109375" customWidth="1"/>
    <col min="772" max="772" width="21.42578125" customWidth="1"/>
    <col min="773" max="779" width="20.7109375" customWidth="1"/>
    <col min="1026" max="1027" width="20.7109375" customWidth="1"/>
    <col min="1028" max="1028" width="21.42578125" customWidth="1"/>
    <col min="1029" max="1035" width="20.7109375" customWidth="1"/>
    <col min="1282" max="1283" width="20.7109375" customWidth="1"/>
    <col min="1284" max="1284" width="21.42578125" customWidth="1"/>
    <col min="1285" max="1291" width="20.7109375" customWidth="1"/>
    <col min="1538" max="1539" width="20.7109375" customWidth="1"/>
    <col min="1540" max="1540" width="21.42578125" customWidth="1"/>
    <col min="1541" max="1547" width="20.7109375" customWidth="1"/>
    <col min="1794" max="1795" width="20.7109375" customWidth="1"/>
    <col min="1796" max="1796" width="21.42578125" customWidth="1"/>
    <col min="1797" max="1803" width="20.7109375" customWidth="1"/>
    <col min="2050" max="2051" width="20.7109375" customWidth="1"/>
    <col min="2052" max="2052" width="21.42578125" customWidth="1"/>
    <col min="2053" max="2059" width="20.7109375" customWidth="1"/>
    <col min="2306" max="2307" width="20.7109375" customWidth="1"/>
    <col min="2308" max="2308" width="21.42578125" customWidth="1"/>
    <col min="2309" max="2315" width="20.7109375" customWidth="1"/>
    <col min="2562" max="2563" width="20.7109375" customWidth="1"/>
    <col min="2564" max="2564" width="21.42578125" customWidth="1"/>
    <col min="2565" max="2571" width="20.7109375" customWidth="1"/>
    <col min="2818" max="2819" width="20.7109375" customWidth="1"/>
    <col min="2820" max="2820" width="21.42578125" customWidth="1"/>
    <col min="2821" max="2827" width="20.7109375" customWidth="1"/>
    <col min="3074" max="3075" width="20.7109375" customWidth="1"/>
    <col min="3076" max="3076" width="21.42578125" customWidth="1"/>
    <col min="3077" max="3083" width="20.7109375" customWidth="1"/>
    <col min="3330" max="3331" width="20.7109375" customWidth="1"/>
    <col min="3332" max="3332" width="21.42578125" customWidth="1"/>
    <col min="3333" max="3339" width="20.7109375" customWidth="1"/>
    <col min="3586" max="3587" width="20.7109375" customWidth="1"/>
    <col min="3588" max="3588" width="21.42578125" customWidth="1"/>
    <col min="3589" max="3595" width="20.7109375" customWidth="1"/>
    <col min="3842" max="3843" width="20.7109375" customWidth="1"/>
    <col min="3844" max="3844" width="21.42578125" customWidth="1"/>
    <col min="3845" max="3851" width="20.7109375" customWidth="1"/>
    <col min="4098" max="4099" width="20.7109375" customWidth="1"/>
    <col min="4100" max="4100" width="21.42578125" customWidth="1"/>
    <col min="4101" max="4107" width="20.7109375" customWidth="1"/>
    <col min="4354" max="4355" width="20.7109375" customWidth="1"/>
    <col min="4356" max="4356" width="21.42578125" customWidth="1"/>
    <col min="4357" max="4363" width="20.7109375" customWidth="1"/>
    <col min="4610" max="4611" width="20.7109375" customWidth="1"/>
    <col min="4612" max="4612" width="21.42578125" customWidth="1"/>
    <col min="4613" max="4619" width="20.7109375" customWidth="1"/>
    <col min="4866" max="4867" width="20.7109375" customWidth="1"/>
    <col min="4868" max="4868" width="21.42578125" customWidth="1"/>
    <col min="4869" max="4875" width="20.7109375" customWidth="1"/>
    <col min="5122" max="5123" width="20.7109375" customWidth="1"/>
    <col min="5124" max="5124" width="21.42578125" customWidth="1"/>
    <col min="5125" max="5131" width="20.7109375" customWidth="1"/>
    <col min="5378" max="5379" width="20.7109375" customWidth="1"/>
    <col min="5380" max="5380" width="21.42578125" customWidth="1"/>
    <col min="5381" max="5387" width="20.7109375" customWidth="1"/>
    <col min="5634" max="5635" width="20.7109375" customWidth="1"/>
    <col min="5636" max="5636" width="21.42578125" customWidth="1"/>
    <col min="5637" max="5643" width="20.7109375" customWidth="1"/>
    <col min="5890" max="5891" width="20.7109375" customWidth="1"/>
    <col min="5892" max="5892" width="21.42578125" customWidth="1"/>
    <col min="5893" max="5899" width="20.7109375" customWidth="1"/>
    <col min="6146" max="6147" width="20.7109375" customWidth="1"/>
    <col min="6148" max="6148" width="21.42578125" customWidth="1"/>
    <col min="6149" max="6155" width="20.7109375" customWidth="1"/>
    <col min="6402" max="6403" width="20.7109375" customWidth="1"/>
    <col min="6404" max="6404" width="21.42578125" customWidth="1"/>
    <col min="6405" max="6411" width="20.7109375" customWidth="1"/>
    <col min="6658" max="6659" width="20.7109375" customWidth="1"/>
    <col min="6660" max="6660" width="21.42578125" customWidth="1"/>
    <col min="6661" max="6667" width="20.7109375" customWidth="1"/>
    <col min="6914" max="6915" width="20.7109375" customWidth="1"/>
    <col min="6916" max="6916" width="21.42578125" customWidth="1"/>
    <col min="6917" max="6923" width="20.7109375" customWidth="1"/>
    <col min="7170" max="7171" width="20.7109375" customWidth="1"/>
    <col min="7172" max="7172" width="21.42578125" customWidth="1"/>
    <col min="7173" max="7179" width="20.7109375" customWidth="1"/>
    <col min="7426" max="7427" width="20.7109375" customWidth="1"/>
    <col min="7428" max="7428" width="21.42578125" customWidth="1"/>
    <col min="7429" max="7435" width="20.7109375" customWidth="1"/>
    <col min="7682" max="7683" width="20.7109375" customWidth="1"/>
    <col min="7684" max="7684" width="21.42578125" customWidth="1"/>
    <col min="7685" max="7691" width="20.7109375" customWidth="1"/>
    <col min="7938" max="7939" width="20.7109375" customWidth="1"/>
    <col min="7940" max="7940" width="21.42578125" customWidth="1"/>
    <col min="7941" max="7947" width="20.7109375" customWidth="1"/>
    <col min="8194" max="8195" width="20.7109375" customWidth="1"/>
    <col min="8196" max="8196" width="21.42578125" customWidth="1"/>
    <col min="8197" max="8203" width="20.7109375" customWidth="1"/>
    <col min="8450" max="8451" width="20.7109375" customWidth="1"/>
    <col min="8452" max="8452" width="21.42578125" customWidth="1"/>
    <col min="8453" max="8459" width="20.7109375" customWidth="1"/>
    <col min="8706" max="8707" width="20.7109375" customWidth="1"/>
    <col min="8708" max="8708" width="21.42578125" customWidth="1"/>
    <col min="8709" max="8715" width="20.7109375" customWidth="1"/>
    <col min="8962" max="8963" width="20.7109375" customWidth="1"/>
    <col min="8964" max="8964" width="21.42578125" customWidth="1"/>
    <col min="8965" max="8971" width="20.7109375" customWidth="1"/>
    <col min="9218" max="9219" width="20.7109375" customWidth="1"/>
    <col min="9220" max="9220" width="21.42578125" customWidth="1"/>
    <col min="9221" max="9227" width="20.7109375" customWidth="1"/>
    <col min="9474" max="9475" width="20.7109375" customWidth="1"/>
    <col min="9476" max="9476" width="21.42578125" customWidth="1"/>
    <col min="9477" max="9483" width="20.7109375" customWidth="1"/>
    <col min="9730" max="9731" width="20.7109375" customWidth="1"/>
    <col min="9732" max="9732" width="21.42578125" customWidth="1"/>
    <col min="9733" max="9739" width="20.7109375" customWidth="1"/>
    <col min="9986" max="9987" width="20.7109375" customWidth="1"/>
    <col min="9988" max="9988" width="21.42578125" customWidth="1"/>
    <col min="9989" max="9995" width="20.7109375" customWidth="1"/>
    <col min="10242" max="10243" width="20.7109375" customWidth="1"/>
    <col min="10244" max="10244" width="21.42578125" customWidth="1"/>
    <col min="10245" max="10251" width="20.7109375" customWidth="1"/>
    <col min="10498" max="10499" width="20.7109375" customWidth="1"/>
    <col min="10500" max="10500" width="21.42578125" customWidth="1"/>
    <col min="10501" max="10507" width="20.7109375" customWidth="1"/>
    <col min="10754" max="10755" width="20.7109375" customWidth="1"/>
    <col min="10756" max="10756" width="21.42578125" customWidth="1"/>
    <col min="10757" max="10763" width="20.7109375" customWidth="1"/>
    <col min="11010" max="11011" width="20.7109375" customWidth="1"/>
    <col min="11012" max="11012" width="21.42578125" customWidth="1"/>
    <col min="11013" max="11019" width="20.7109375" customWidth="1"/>
    <col min="11266" max="11267" width="20.7109375" customWidth="1"/>
    <col min="11268" max="11268" width="21.42578125" customWidth="1"/>
    <col min="11269" max="11275" width="20.7109375" customWidth="1"/>
    <col min="11522" max="11523" width="20.7109375" customWidth="1"/>
    <col min="11524" max="11524" width="21.42578125" customWidth="1"/>
    <col min="11525" max="11531" width="20.7109375" customWidth="1"/>
    <col min="11778" max="11779" width="20.7109375" customWidth="1"/>
    <col min="11780" max="11780" width="21.42578125" customWidth="1"/>
    <col min="11781" max="11787" width="20.7109375" customWidth="1"/>
    <col min="12034" max="12035" width="20.7109375" customWidth="1"/>
    <col min="12036" max="12036" width="21.42578125" customWidth="1"/>
    <col min="12037" max="12043" width="20.7109375" customWidth="1"/>
    <col min="12290" max="12291" width="20.7109375" customWidth="1"/>
    <col min="12292" max="12292" width="21.42578125" customWidth="1"/>
    <col min="12293" max="12299" width="20.7109375" customWidth="1"/>
    <col min="12546" max="12547" width="20.7109375" customWidth="1"/>
    <col min="12548" max="12548" width="21.42578125" customWidth="1"/>
    <col min="12549" max="12555" width="20.7109375" customWidth="1"/>
    <col min="12802" max="12803" width="20.7109375" customWidth="1"/>
    <col min="12804" max="12804" width="21.42578125" customWidth="1"/>
    <col min="12805" max="12811" width="20.7109375" customWidth="1"/>
    <col min="13058" max="13059" width="20.7109375" customWidth="1"/>
    <col min="13060" max="13060" width="21.42578125" customWidth="1"/>
    <col min="13061" max="13067" width="20.7109375" customWidth="1"/>
    <col min="13314" max="13315" width="20.7109375" customWidth="1"/>
    <col min="13316" max="13316" width="21.42578125" customWidth="1"/>
    <col min="13317" max="13323" width="20.7109375" customWidth="1"/>
    <col min="13570" max="13571" width="20.7109375" customWidth="1"/>
    <col min="13572" max="13572" width="21.42578125" customWidth="1"/>
    <col min="13573" max="13579" width="20.7109375" customWidth="1"/>
    <col min="13826" max="13827" width="20.7109375" customWidth="1"/>
    <col min="13828" max="13828" width="21.42578125" customWidth="1"/>
    <col min="13829" max="13835" width="20.7109375" customWidth="1"/>
    <col min="14082" max="14083" width="20.7109375" customWidth="1"/>
    <col min="14084" max="14084" width="21.42578125" customWidth="1"/>
    <col min="14085" max="14091" width="20.7109375" customWidth="1"/>
    <col min="14338" max="14339" width="20.7109375" customWidth="1"/>
    <col min="14340" max="14340" width="21.42578125" customWidth="1"/>
    <col min="14341" max="14347" width="20.7109375" customWidth="1"/>
    <col min="14594" max="14595" width="20.7109375" customWidth="1"/>
    <col min="14596" max="14596" width="21.42578125" customWidth="1"/>
    <col min="14597" max="14603" width="20.7109375" customWidth="1"/>
    <col min="14850" max="14851" width="20.7109375" customWidth="1"/>
    <col min="14852" max="14852" width="21.42578125" customWidth="1"/>
    <col min="14853" max="14859" width="20.7109375" customWidth="1"/>
    <col min="15106" max="15107" width="20.7109375" customWidth="1"/>
    <col min="15108" max="15108" width="21.42578125" customWidth="1"/>
    <col min="15109" max="15115" width="20.7109375" customWidth="1"/>
    <col min="15362" max="15363" width="20.7109375" customWidth="1"/>
    <col min="15364" max="15364" width="21.42578125" customWidth="1"/>
    <col min="15365" max="15371" width="20.7109375" customWidth="1"/>
    <col min="15618" max="15619" width="20.7109375" customWidth="1"/>
    <col min="15620" max="15620" width="21.42578125" customWidth="1"/>
    <col min="15621" max="15627" width="20.7109375" customWidth="1"/>
    <col min="15874" max="15875" width="20.7109375" customWidth="1"/>
    <col min="15876" max="15876" width="21.42578125" customWidth="1"/>
    <col min="15877" max="15883" width="20.7109375" customWidth="1"/>
    <col min="16130" max="16131" width="20.7109375" customWidth="1"/>
    <col min="16132" max="16132" width="21.42578125" customWidth="1"/>
    <col min="16133" max="16139" width="20.7109375" customWidth="1"/>
  </cols>
  <sheetData>
    <row r="1" spans="1:15" s="41" customFormat="1" ht="29.85" customHeight="1">
      <c r="A1" s="370" t="str">
        <f>+'0. Project Details'!A7</f>
        <v>Project Name/Number:</v>
      </c>
      <c r="B1" s="34" t="str">
        <f>CONCATENATE('0. Project Details'!G5," / ", '0. Project Details'!B7)</f>
        <v xml:space="preserve">Meandering River / </v>
      </c>
      <c r="C1" s="371"/>
      <c r="D1" s="372"/>
      <c r="E1" s="176"/>
      <c r="F1" s="176"/>
      <c r="G1" s="177"/>
    </row>
    <row r="2" spans="1:15" s="41" customFormat="1" ht="29.85" customHeight="1">
      <c r="A2" s="373" t="str">
        <f>+'0. Project Details'!A5</f>
        <v>Company:</v>
      </c>
      <c r="B2" s="179" t="str">
        <f>+'0. Project Details'!B5</f>
        <v xml:space="preserve"> Consultant</v>
      </c>
      <c r="C2" s="374"/>
      <c r="D2" s="375"/>
      <c r="E2" s="181"/>
      <c r="F2" s="181"/>
      <c r="G2" s="182"/>
    </row>
    <row r="3" spans="1:15" s="41" customFormat="1" ht="29.85" customHeight="1">
      <c r="A3" s="373" t="str">
        <f>+'0. Project Details'!A6</f>
        <v>Designer:</v>
      </c>
      <c r="B3" s="42" t="str">
        <f>+'0. Project Details'!B6</f>
        <v>John Doe</v>
      </c>
      <c r="C3" s="374"/>
      <c r="D3" s="375"/>
      <c r="E3" s="181"/>
      <c r="F3" s="181"/>
      <c r="G3" s="182"/>
    </row>
    <row r="4" spans="1:15" s="41" customFormat="1" ht="29.85" customHeight="1">
      <c r="A4" s="373" t="str">
        <f>+'0. Project Details'!F6</f>
        <v>Date:</v>
      </c>
      <c r="B4" s="184">
        <f>+'0. Project Details'!G6</f>
        <v>0</v>
      </c>
      <c r="C4" s="376"/>
      <c r="D4" s="375"/>
      <c r="E4" s="181"/>
      <c r="F4" s="181"/>
      <c r="G4" s="182"/>
    </row>
    <row r="5" spans="1:15" s="41" customFormat="1" ht="34.5" customHeight="1" thickBot="1">
      <c r="A5" s="51" t="s">
        <v>27</v>
      </c>
      <c r="B5" s="377">
        <f>+'0. Project Details'!B8</f>
        <v>0</v>
      </c>
      <c r="C5" s="378"/>
      <c r="D5" s="379"/>
      <c r="E5" s="188"/>
      <c r="F5" s="188"/>
      <c r="G5" s="189"/>
    </row>
    <row r="6" spans="1:15" s="41" customFormat="1" ht="19.5" customHeight="1">
      <c r="A6" s="626"/>
      <c r="B6" s="627"/>
      <c r="C6" s="627"/>
      <c r="D6" s="627"/>
      <c r="E6" s="627"/>
      <c r="F6" s="627"/>
      <c r="G6" s="628"/>
      <c r="L6" s="380"/>
    </row>
    <row r="7" spans="1:15" s="41" customFormat="1" ht="27" customHeight="1">
      <c r="A7" s="532" t="s">
        <v>73</v>
      </c>
      <c r="B7" s="533"/>
      <c r="C7" s="533"/>
      <c r="D7" s="533"/>
      <c r="E7" s="533"/>
      <c r="F7" s="533"/>
      <c r="G7" s="534"/>
    </row>
    <row r="8" spans="1:15" s="41" customFormat="1" ht="14.25" customHeight="1" thickBot="1">
      <c r="A8" s="162"/>
      <c r="B8"/>
      <c r="C8" s="1"/>
      <c r="D8" s="1"/>
      <c r="E8" s="381"/>
      <c r="F8" s="381"/>
      <c r="G8" s="321"/>
    </row>
    <row r="9" spans="1:15" ht="15" customHeight="1">
      <c r="A9" s="629" t="s">
        <v>74</v>
      </c>
      <c r="B9" s="630"/>
      <c r="C9" s="630"/>
      <c r="D9" s="630"/>
      <c r="E9" s="630"/>
      <c r="F9" s="630"/>
      <c r="G9" s="382"/>
    </row>
    <row r="10" spans="1:15" ht="15" customHeight="1">
      <c r="A10" s="632"/>
      <c r="B10" s="633"/>
      <c r="C10" s="633"/>
      <c r="D10" s="633"/>
      <c r="E10" s="633"/>
      <c r="F10" s="633"/>
      <c r="G10" s="383"/>
    </row>
    <row r="11" spans="1:15" s="65" customFormat="1" ht="29.1">
      <c r="A11" s="384" t="s">
        <v>75</v>
      </c>
      <c r="B11" s="63" t="s">
        <v>76</v>
      </c>
      <c r="C11" s="63" t="s">
        <v>77</v>
      </c>
      <c r="D11" s="63" t="s">
        <v>78</v>
      </c>
      <c r="E11" s="63" t="s">
        <v>79</v>
      </c>
      <c r="F11" s="63" t="s">
        <v>80</v>
      </c>
      <c r="G11" s="66"/>
      <c r="I11"/>
      <c r="J11"/>
      <c r="K11"/>
      <c r="L11"/>
      <c r="M11"/>
      <c r="N11"/>
      <c r="O11"/>
    </row>
    <row r="12" spans="1:15" ht="15" customHeight="1">
      <c r="A12" s="400" t="s">
        <v>81</v>
      </c>
      <c r="B12" s="401">
        <v>12</v>
      </c>
      <c r="C12" s="401">
        <v>12</v>
      </c>
      <c r="D12" s="402">
        <v>4</v>
      </c>
      <c r="E12" s="401">
        <v>21</v>
      </c>
      <c r="F12" s="402">
        <v>40</v>
      </c>
      <c r="G12" s="68"/>
    </row>
    <row r="13" spans="1:15" ht="15" customHeight="1">
      <c r="A13" s="400" t="s">
        <v>82</v>
      </c>
      <c r="B13" s="401">
        <v>15</v>
      </c>
      <c r="C13" s="401">
        <v>15</v>
      </c>
      <c r="D13" s="402">
        <v>5</v>
      </c>
      <c r="E13" s="401">
        <v>21</v>
      </c>
      <c r="F13" s="402">
        <v>66</v>
      </c>
      <c r="G13" s="68"/>
    </row>
    <row r="14" spans="1:15" ht="15" customHeight="1">
      <c r="A14" s="400" t="s">
        <v>83</v>
      </c>
      <c r="B14" s="401">
        <v>18</v>
      </c>
      <c r="C14" s="401">
        <v>15</v>
      </c>
      <c r="D14" s="402">
        <v>5</v>
      </c>
      <c r="E14" s="401">
        <v>21</v>
      </c>
      <c r="F14" s="402">
        <v>72.900000000000006</v>
      </c>
      <c r="G14" s="68"/>
    </row>
    <row r="15" spans="1:15" ht="15" customHeight="1">
      <c r="A15" s="400" t="s">
        <v>84</v>
      </c>
      <c r="B15" s="401">
        <v>17.25</v>
      </c>
      <c r="C15" s="401">
        <v>15.5</v>
      </c>
      <c r="D15" s="402">
        <v>9</v>
      </c>
      <c r="E15" s="401">
        <v>21</v>
      </c>
      <c r="F15" s="402">
        <v>163</v>
      </c>
      <c r="G15" s="68"/>
    </row>
    <row r="16" spans="1:15" ht="9.75" customHeight="1">
      <c r="A16" s="385"/>
      <c r="B16" s="386"/>
      <c r="C16" s="386"/>
      <c r="D16" s="386"/>
      <c r="E16" s="386"/>
      <c r="F16" s="41"/>
      <c r="G16" s="387"/>
    </row>
    <row r="17" spans="1:13" ht="15" customHeight="1">
      <c r="A17" s="388" t="s">
        <v>85</v>
      </c>
      <c r="B17" s="389"/>
      <c r="C17" s="389"/>
      <c r="D17" s="390"/>
      <c r="E17" s="390"/>
      <c r="F17" s="390"/>
      <c r="G17" s="391"/>
    </row>
    <row r="18" spans="1:13" ht="27" customHeight="1">
      <c r="A18" s="384" t="s">
        <v>75</v>
      </c>
      <c r="B18" s="63" t="s">
        <v>86</v>
      </c>
      <c r="C18" s="63" t="s">
        <v>87</v>
      </c>
      <c r="D18" s="41"/>
      <c r="E18" s="41"/>
      <c r="F18" s="41"/>
      <c r="G18" s="387"/>
    </row>
    <row r="19" spans="1:13" ht="15" customHeight="1">
      <c r="A19" s="392" t="str">
        <f>+A12</f>
        <v>4-inch open cell</v>
      </c>
      <c r="B19" s="403">
        <v>1</v>
      </c>
      <c r="C19" s="404">
        <v>1.15E-2</v>
      </c>
      <c r="D19" s="41"/>
      <c r="E19" s="41"/>
      <c r="F19" s="41"/>
      <c r="G19" s="387"/>
    </row>
    <row r="20" spans="1:13" ht="15" customHeight="1">
      <c r="A20" s="392" t="str">
        <f>+A13</f>
        <v>4.5-inch open cell</v>
      </c>
      <c r="B20" s="403">
        <v>1.1100000000000001</v>
      </c>
      <c r="C20" s="404">
        <v>1.15E-2</v>
      </c>
      <c r="D20" s="41"/>
      <c r="E20" s="41"/>
      <c r="F20" s="41"/>
      <c r="G20" s="387"/>
    </row>
    <row r="21" spans="1:13" ht="15" customHeight="1">
      <c r="A21" s="392" t="str">
        <f>+A14</f>
        <v>6-inch open cell</v>
      </c>
      <c r="B21" s="403">
        <v>1.3</v>
      </c>
      <c r="C21" s="404">
        <v>1.35E-2</v>
      </c>
      <c r="D21" s="41"/>
      <c r="E21" s="41"/>
      <c r="F21" s="41"/>
      <c r="G21" s="387"/>
    </row>
    <row r="22" spans="1:13" ht="15" customHeight="1">
      <c r="A22" s="392" t="str">
        <f>+IF(A15="","",A15)</f>
        <v>9-inch open cell</v>
      </c>
      <c r="B22" s="403">
        <v>1.3</v>
      </c>
      <c r="C22" s="404">
        <v>1.35E-2</v>
      </c>
      <c r="D22" s="41"/>
      <c r="E22" s="41"/>
      <c r="F22" s="41"/>
      <c r="G22" s="387"/>
    </row>
    <row r="23" spans="1:13" ht="15" customHeight="1">
      <c r="A23" s="393"/>
      <c r="B23" s="233"/>
      <c r="C23" s="233"/>
      <c r="D23" s="233"/>
      <c r="E23" s="233"/>
      <c r="F23" s="233"/>
      <c r="G23" s="387"/>
    </row>
    <row r="24" spans="1:13" ht="7.5" customHeight="1" thickBot="1">
      <c r="A24" s="394"/>
      <c r="B24" s="395"/>
      <c r="C24" s="395"/>
      <c r="D24" s="395"/>
      <c r="E24" s="395"/>
      <c r="F24" s="395"/>
      <c r="G24" s="396"/>
    </row>
    <row r="25" spans="1:13" ht="15" customHeight="1" thickBot="1">
      <c r="A25" s="162"/>
      <c r="E25" s="41"/>
      <c r="F25" s="41"/>
      <c r="G25" s="397"/>
    </row>
    <row r="26" spans="1:13" ht="15" customHeight="1">
      <c r="A26" s="629" t="s">
        <v>88</v>
      </c>
      <c r="B26" s="630"/>
      <c r="C26" s="630"/>
      <c r="D26" s="630"/>
      <c r="E26" s="631"/>
      <c r="F26" s="285"/>
      <c r="G26" s="397"/>
    </row>
    <row r="27" spans="1:13" ht="21" customHeight="1">
      <c r="A27" s="632"/>
      <c r="B27" s="633"/>
      <c r="C27" s="633"/>
      <c r="D27" s="633"/>
      <c r="E27" s="634"/>
      <c r="F27" s="285"/>
      <c r="G27" s="397"/>
    </row>
    <row r="28" spans="1:13" ht="27.75" customHeight="1">
      <c r="A28" s="384" t="s">
        <v>89</v>
      </c>
      <c r="B28" s="63" t="s">
        <v>90</v>
      </c>
      <c r="C28" s="63" t="s">
        <v>91</v>
      </c>
      <c r="D28" s="635" t="s">
        <v>92</v>
      </c>
      <c r="E28" s="636"/>
      <c r="F28" s="340"/>
      <c r="G28" s="61"/>
      <c r="I28" s="398" t="s">
        <v>93</v>
      </c>
    </row>
    <row r="29" spans="1:13" ht="15" customHeight="1">
      <c r="A29" s="392" t="str">
        <f>+A12</f>
        <v>4-inch open cell</v>
      </c>
      <c r="B29" s="402">
        <v>11</v>
      </c>
      <c r="C29" s="405">
        <v>10</v>
      </c>
      <c r="D29" s="624" t="s">
        <v>94</v>
      </c>
      <c r="E29" s="625"/>
      <c r="G29" s="61"/>
      <c r="I29" s="414">
        <f>+ATAN(0.5)*180/PI()</f>
        <v>26.56505117707799</v>
      </c>
    </row>
    <row r="30" spans="1:13">
      <c r="A30" s="392" t="str">
        <f>+A13</f>
        <v>4.5-inch open cell</v>
      </c>
      <c r="B30" s="402">
        <v>25</v>
      </c>
      <c r="C30" s="405">
        <v>18</v>
      </c>
      <c r="D30" s="624" t="s">
        <v>94</v>
      </c>
      <c r="E30" s="625"/>
      <c r="G30" s="61"/>
      <c r="I30" s="414">
        <f>+ATAN(0.5)*180/PI()</f>
        <v>26.56505117707799</v>
      </c>
    </row>
    <row r="31" spans="1:13">
      <c r="A31" s="392" t="str">
        <f>+A14</f>
        <v>6-inch open cell</v>
      </c>
      <c r="B31" s="402">
        <v>30</v>
      </c>
      <c r="C31" s="405">
        <v>20</v>
      </c>
      <c r="D31" s="622" t="s">
        <v>94</v>
      </c>
      <c r="E31" s="623"/>
      <c r="G31" s="61"/>
      <c r="I31" s="414">
        <f>+ATAN(0.5)*180/PI()</f>
        <v>26.56505117707799</v>
      </c>
      <c r="M31" s="335"/>
    </row>
    <row r="32" spans="1:13">
      <c r="A32" s="392" t="str">
        <f>+IF(A15="","",A15)</f>
        <v>9-inch open cell</v>
      </c>
      <c r="B32" s="406">
        <v>27.9</v>
      </c>
      <c r="C32" s="407">
        <v>23.5</v>
      </c>
      <c r="D32" s="624" t="s">
        <v>95</v>
      </c>
      <c r="E32" s="625"/>
      <c r="G32" s="61"/>
      <c r="I32" s="414">
        <f>+ATAN(0.5)*180/PI()</f>
        <v>26.56505117707799</v>
      </c>
      <c r="M32" s="335"/>
    </row>
    <row r="33" spans="1:14" ht="7.5" customHeight="1" thickBot="1">
      <c r="A33" s="399"/>
      <c r="B33" s="161"/>
      <c r="C33" s="161"/>
      <c r="D33" s="161"/>
      <c r="E33" s="161"/>
      <c r="F33" s="161"/>
      <c r="G33" s="99"/>
      <c r="N33" s="335"/>
    </row>
    <row r="34" spans="1:14" ht="15" customHeight="1">
      <c r="A34" s="408"/>
      <c r="B34" s="409"/>
      <c r="C34" s="409"/>
      <c r="D34" s="409"/>
      <c r="E34" s="409"/>
      <c r="F34" s="409"/>
      <c r="G34" s="410"/>
      <c r="N34" s="335"/>
    </row>
    <row r="35" spans="1:14" ht="15" customHeight="1">
      <c r="A35" s="408"/>
      <c r="B35" s="409"/>
      <c r="C35" s="409"/>
      <c r="D35" s="409"/>
      <c r="E35" s="409"/>
      <c r="F35" s="409"/>
      <c r="G35" s="410"/>
    </row>
    <row r="36" spans="1:14" ht="15" customHeight="1">
      <c r="A36" s="408"/>
      <c r="B36" s="409"/>
      <c r="C36" s="409"/>
      <c r="D36" s="409"/>
      <c r="E36" s="409"/>
      <c r="F36" s="409"/>
      <c r="G36" s="410"/>
    </row>
    <row r="37" spans="1:14" ht="15" customHeight="1">
      <c r="A37" s="408"/>
      <c r="B37" s="409"/>
      <c r="C37" s="409"/>
      <c r="D37" s="409"/>
      <c r="E37" s="409"/>
      <c r="F37" s="409"/>
      <c r="G37" s="410"/>
    </row>
    <row r="38" spans="1:14" ht="15" customHeight="1">
      <c r="A38" s="408"/>
      <c r="B38" s="409"/>
      <c r="C38" s="409"/>
      <c r="D38" s="409"/>
      <c r="E38" s="409"/>
      <c r="F38" s="409"/>
      <c r="G38" s="410"/>
    </row>
    <row r="39" spans="1:14" ht="15" customHeight="1">
      <c r="A39" s="408"/>
      <c r="B39" s="409"/>
      <c r="C39" s="409"/>
      <c r="D39" s="409"/>
      <c r="E39" s="409"/>
      <c r="F39" s="409"/>
      <c r="G39" s="410"/>
    </row>
    <row r="40" spans="1:14" ht="15" customHeight="1">
      <c r="A40" s="408"/>
      <c r="B40" s="409"/>
      <c r="C40" s="409"/>
      <c r="D40" s="409"/>
      <c r="E40" s="409"/>
      <c r="F40" s="409"/>
      <c r="G40" s="410"/>
    </row>
    <row r="41" spans="1:14" ht="15" customHeight="1">
      <c r="A41" s="408"/>
      <c r="B41" s="409"/>
      <c r="C41" s="409"/>
      <c r="D41" s="409"/>
      <c r="E41" s="409"/>
      <c r="F41" s="409"/>
      <c r="G41" s="410"/>
    </row>
    <row r="42" spans="1:14" ht="15" customHeight="1">
      <c r="A42" s="408"/>
      <c r="B42" s="409"/>
      <c r="C42" s="409"/>
      <c r="D42" s="409"/>
      <c r="E42" s="409"/>
      <c r="F42" s="409"/>
      <c r="G42" s="410"/>
    </row>
    <row r="43" spans="1:14" ht="15" customHeight="1">
      <c r="A43" s="408"/>
      <c r="B43" s="409"/>
      <c r="C43" s="409"/>
      <c r="D43" s="409"/>
      <c r="E43" s="409"/>
      <c r="F43" s="409"/>
      <c r="G43" s="410"/>
    </row>
    <row r="44" spans="1:14" ht="15" customHeight="1">
      <c r="A44" s="408"/>
      <c r="B44" s="409"/>
      <c r="C44" s="409"/>
      <c r="D44" s="409"/>
      <c r="E44" s="409"/>
      <c r="F44" s="409"/>
      <c r="G44" s="410"/>
    </row>
    <row r="45" spans="1:14" ht="15" customHeight="1">
      <c r="A45" s="408"/>
      <c r="B45" s="409"/>
      <c r="C45" s="409"/>
      <c r="D45" s="409"/>
      <c r="E45" s="409"/>
      <c r="F45" s="409"/>
      <c r="G45" s="410"/>
    </row>
    <row r="46" spans="1:14" ht="15" customHeight="1">
      <c r="A46" s="408"/>
      <c r="B46" s="409"/>
      <c r="C46" s="409"/>
      <c r="D46" s="409"/>
      <c r="E46" s="409"/>
      <c r="F46" s="409"/>
      <c r="G46" s="410"/>
    </row>
    <row r="47" spans="1:14" ht="15" customHeight="1">
      <c r="A47" s="408"/>
      <c r="B47" s="409"/>
      <c r="C47" s="409"/>
      <c r="D47" s="409"/>
      <c r="E47" s="409"/>
      <c r="F47" s="409"/>
      <c r="G47" s="410"/>
    </row>
    <row r="48" spans="1:14" ht="15" customHeight="1">
      <c r="A48" s="408"/>
      <c r="B48" s="409"/>
      <c r="C48" s="409"/>
      <c r="D48" s="409"/>
      <c r="E48" s="409"/>
      <c r="F48" s="409"/>
      <c r="G48" s="410"/>
    </row>
    <row r="49" spans="1:7" ht="15" customHeight="1">
      <c r="A49" s="408"/>
      <c r="B49" s="409"/>
      <c r="C49" s="409"/>
      <c r="D49" s="409"/>
      <c r="E49" s="409"/>
      <c r="F49" s="409" t="str">
        <f>IF(A43="","",IF('1. Block Properties'!B29&lt;'1. Block Properties'!I29,"Ok","Not Ok"))</f>
        <v/>
      </c>
      <c r="G49" s="410"/>
    </row>
    <row r="50" spans="1:7" ht="15" customHeight="1">
      <c r="A50" s="408"/>
      <c r="B50" s="409"/>
      <c r="C50" s="409"/>
      <c r="D50" s="409"/>
      <c r="E50" s="409"/>
      <c r="F50" s="409"/>
      <c r="G50" s="410"/>
    </row>
    <row r="51" spans="1:7" ht="15" customHeight="1">
      <c r="A51" s="408"/>
      <c r="B51" s="409"/>
      <c r="C51" s="409"/>
      <c r="D51" s="409"/>
      <c r="E51" s="409"/>
      <c r="F51" s="409"/>
      <c r="G51" s="410"/>
    </row>
    <row r="52" spans="1:7" ht="15" customHeight="1">
      <c r="A52" s="408"/>
      <c r="B52" s="409"/>
      <c r="C52" s="409"/>
      <c r="D52" s="409"/>
      <c r="E52" s="409"/>
      <c r="F52" s="409"/>
      <c r="G52" s="410"/>
    </row>
    <row r="53" spans="1:7" ht="15" customHeight="1" thickBot="1">
      <c r="A53" s="411"/>
      <c r="B53" s="412"/>
      <c r="C53" s="412"/>
      <c r="D53" s="412"/>
      <c r="E53" s="412"/>
      <c r="F53" s="412"/>
      <c r="G53" s="413"/>
    </row>
    <row r="54" spans="1:7" ht="15" customHeight="1"/>
    <row r="55" spans="1:7" ht="15" customHeight="1"/>
    <row r="56" spans="1:7" ht="15" customHeight="1"/>
    <row r="57" spans="1:7" ht="15" customHeight="1"/>
    <row r="58" spans="1:7" ht="15" customHeight="1"/>
    <row r="59" spans="1:7" ht="15" customHeight="1"/>
    <row r="60" spans="1:7" ht="15" customHeight="1"/>
    <row r="61" spans="1:7" ht="15" customHeight="1"/>
  </sheetData>
  <sheetProtection algorithmName="SHA-512" hashValue="PxjcDWCCWglKU/7rX8w0GpKo1NEa0VJlNclN7XkL9lkBzAAYhIobqNUa7T+LSmNJwjYDyMepGAtWY1gAwlmq7w==" saltValue="WNCWPvC5apsfhcW+dDl7SQ==" spinCount="100000" sheet="1" objects="1" scenarios="1"/>
  <mergeCells count="9">
    <mergeCell ref="D31:E31"/>
    <mergeCell ref="D32:E32"/>
    <mergeCell ref="A6:G6"/>
    <mergeCell ref="A7:G7"/>
    <mergeCell ref="A26:E27"/>
    <mergeCell ref="A9:F10"/>
    <mergeCell ref="D28:E28"/>
    <mergeCell ref="D29:E29"/>
    <mergeCell ref="D30:E30"/>
  </mergeCells>
  <printOptions horizontalCentered="1"/>
  <pageMargins left="0.7" right="0.7" top="0.75" bottom="0.75" header="0.3" footer="0.55000000000000004"/>
  <pageSetup scale="73" fitToHeight="0" orientation="portrait" r:id="rId1"/>
  <headerFooter>
    <oddFooter>&amp;R&amp;10Revision 1/Date 3/2020</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Q75"/>
  <sheetViews>
    <sheetView topLeftCell="A58" zoomScale="80" zoomScaleNormal="80" workbookViewId="0">
      <selection activeCell="J49" sqref="J49"/>
    </sheetView>
  </sheetViews>
  <sheetFormatPr defaultColWidth="9.140625" defaultRowHeight="14.45"/>
  <cols>
    <col min="1" max="1" width="10.7109375" customWidth="1"/>
    <col min="2" max="2" width="9.28515625" customWidth="1"/>
    <col min="3" max="5" width="9.5703125" customWidth="1"/>
    <col min="6" max="6" width="10.5703125" customWidth="1"/>
    <col min="7" max="13" width="9.5703125" customWidth="1"/>
    <col min="14" max="14" width="20.7109375" customWidth="1"/>
    <col min="15" max="15" width="15.42578125" customWidth="1"/>
    <col min="16" max="17" width="20.7109375" customWidth="1"/>
    <col min="258" max="269" width="10.7109375" customWidth="1"/>
    <col min="270" max="273" width="20.7109375" customWidth="1"/>
    <col min="514" max="525" width="10.7109375" customWidth="1"/>
    <col min="526" max="529" width="20.7109375" customWidth="1"/>
    <col min="770" max="781" width="10.7109375" customWidth="1"/>
    <col min="782" max="785" width="20.7109375" customWidth="1"/>
    <col min="1026" max="1037" width="10.7109375" customWidth="1"/>
    <col min="1038" max="1041" width="20.7109375" customWidth="1"/>
    <col min="1282" max="1293" width="10.7109375" customWidth="1"/>
    <col min="1294" max="1297" width="20.7109375" customWidth="1"/>
    <col min="1538" max="1549" width="10.7109375" customWidth="1"/>
    <col min="1550" max="1553" width="20.7109375" customWidth="1"/>
    <col min="1794" max="1805" width="10.7109375" customWidth="1"/>
    <col min="1806" max="1809" width="20.7109375" customWidth="1"/>
    <col min="2050" max="2061" width="10.7109375" customWidth="1"/>
    <col min="2062" max="2065" width="20.7109375" customWidth="1"/>
    <col min="2306" max="2317" width="10.7109375" customWidth="1"/>
    <col min="2318" max="2321" width="20.7109375" customWidth="1"/>
    <col min="2562" max="2573" width="10.7109375" customWidth="1"/>
    <col min="2574" max="2577" width="20.7109375" customWidth="1"/>
    <col min="2818" max="2829" width="10.7109375" customWidth="1"/>
    <col min="2830" max="2833" width="20.7109375" customWidth="1"/>
    <col min="3074" max="3085" width="10.7109375" customWidth="1"/>
    <col min="3086" max="3089" width="20.7109375" customWidth="1"/>
    <col min="3330" max="3341" width="10.7109375" customWidth="1"/>
    <col min="3342" max="3345" width="20.7109375" customWidth="1"/>
    <col min="3586" max="3597" width="10.7109375" customWidth="1"/>
    <col min="3598" max="3601" width="20.7109375" customWidth="1"/>
    <col min="3842" max="3853" width="10.7109375" customWidth="1"/>
    <col min="3854" max="3857" width="20.7109375" customWidth="1"/>
    <col min="4098" max="4109" width="10.7109375" customWidth="1"/>
    <col min="4110" max="4113" width="20.7109375" customWidth="1"/>
    <col min="4354" max="4365" width="10.7109375" customWidth="1"/>
    <col min="4366" max="4369" width="20.7109375" customWidth="1"/>
    <col min="4610" max="4621" width="10.7109375" customWidth="1"/>
    <col min="4622" max="4625" width="20.7109375" customWidth="1"/>
    <col min="4866" max="4877" width="10.7109375" customWidth="1"/>
    <col min="4878" max="4881" width="20.7109375" customWidth="1"/>
    <col min="5122" max="5133" width="10.7109375" customWidth="1"/>
    <col min="5134" max="5137" width="20.7109375" customWidth="1"/>
    <col min="5378" max="5389" width="10.7109375" customWidth="1"/>
    <col min="5390" max="5393" width="20.7109375" customWidth="1"/>
    <col min="5634" max="5645" width="10.7109375" customWidth="1"/>
    <col min="5646" max="5649" width="20.7109375" customWidth="1"/>
    <col min="5890" max="5901" width="10.7109375" customWidth="1"/>
    <col min="5902" max="5905" width="20.7109375" customWidth="1"/>
    <col min="6146" max="6157" width="10.7109375" customWidth="1"/>
    <col min="6158" max="6161" width="20.7109375" customWidth="1"/>
    <col min="6402" max="6413" width="10.7109375" customWidth="1"/>
    <col min="6414" max="6417" width="20.7109375" customWidth="1"/>
    <col min="6658" max="6669" width="10.7109375" customWidth="1"/>
    <col min="6670" max="6673" width="20.7109375" customWidth="1"/>
    <col min="6914" max="6925" width="10.7109375" customWidth="1"/>
    <col min="6926" max="6929" width="20.7109375" customWidth="1"/>
    <col min="7170" max="7181" width="10.7109375" customWidth="1"/>
    <col min="7182" max="7185" width="20.7109375" customWidth="1"/>
    <col min="7426" max="7437" width="10.7109375" customWidth="1"/>
    <col min="7438" max="7441" width="20.7109375" customWidth="1"/>
    <col min="7682" max="7693" width="10.7109375" customWidth="1"/>
    <col min="7694" max="7697" width="20.7109375" customWidth="1"/>
    <col min="7938" max="7949" width="10.7109375" customWidth="1"/>
    <col min="7950" max="7953" width="20.7109375" customWidth="1"/>
    <col min="8194" max="8205" width="10.7109375" customWidth="1"/>
    <col min="8206" max="8209" width="20.7109375" customWidth="1"/>
    <col min="8450" max="8461" width="10.7109375" customWidth="1"/>
    <col min="8462" max="8465" width="20.7109375" customWidth="1"/>
    <col min="8706" max="8717" width="10.7109375" customWidth="1"/>
    <col min="8718" max="8721" width="20.7109375" customWidth="1"/>
    <col min="8962" max="8973" width="10.7109375" customWidth="1"/>
    <col min="8974" max="8977" width="20.7109375" customWidth="1"/>
    <col min="9218" max="9229" width="10.7109375" customWidth="1"/>
    <col min="9230" max="9233" width="20.7109375" customWidth="1"/>
    <col min="9474" max="9485" width="10.7109375" customWidth="1"/>
    <col min="9486" max="9489" width="20.7109375" customWidth="1"/>
    <col min="9730" max="9741" width="10.7109375" customWidth="1"/>
    <col min="9742" max="9745" width="20.7109375" customWidth="1"/>
    <col min="9986" max="9997" width="10.7109375" customWidth="1"/>
    <col min="9998" max="10001" width="20.7109375" customWidth="1"/>
    <col min="10242" max="10253" width="10.7109375" customWidth="1"/>
    <col min="10254" max="10257" width="20.7109375" customWidth="1"/>
    <col min="10498" max="10509" width="10.7109375" customWidth="1"/>
    <col min="10510" max="10513" width="20.7109375" customWidth="1"/>
    <col min="10754" max="10765" width="10.7109375" customWidth="1"/>
    <col min="10766" max="10769" width="20.7109375" customWidth="1"/>
    <col min="11010" max="11021" width="10.7109375" customWidth="1"/>
    <col min="11022" max="11025" width="20.7109375" customWidth="1"/>
    <col min="11266" max="11277" width="10.7109375" customWidth="1"/>
    <col min="11278" max="11281" width="20.7109375" customWidth="1"/>
    <col min="11522" max="11533" width="10.7109375" customWidth="1"/>
    <col min="11534" max="11537" width="20.7109375" customWidth="1"/>
    <col min="11778" max="11789" width="10.7109375" customWidth="1"/>
    <col min="11790" max="11793" width="20.7109375" customWidth="1"/>
    <col min="12034" max="12045" width="10.7109375" customWidth="1"/>
    <col min="12046" max="12049" width="20.7109375" customWidth="1"/>
    <col min="12290" max="12301" width="10.7109375" customWidth="1"/>
    <col min="12302" max="12305" width="20.7109375" customWidth="1"/>
    <col min="12546" max="12557" width="10.7109375" customWidth="1"/>
    <col min="12558" max="12561" width="20.7109375" customWidth="1"/>
    <col min="12802" max="12813" width="10.7109375" customWidth="1"/>
    <col min="12814" max="12817" width="20.7109375" customWidth="1"/>
    <col min="13058" max="13069" width="10.7109375" customWidth="1"/>
    <col min="13070" max="13073" width="20.7109375" customWidth="1"/>
    <col min="13314" max="13325" width="10.7109375" customWidth="1"/>
    <col min="13326" max="13329" width="20.7109375" customWidth="1"/>
    <col min="13570" max="13581" width="10.7109375" customWidth="1"/>
    <col min="13582" max="13585" width="20.7109375" customWidth="1"/>
    <col min="13826" max="13837" width="10.7109375" customWidth="1"/>
    <col min="13838" max="13841" width="20.7109375" customWidth="1"/>
    <col min="14082" max="14093" width="10.7109375" customWidth="1"/>
    <col min="14094" max="14097" width="20.7109375" customWidth="1"/>
    <col min="14338" max="14349" width="10.7109375" customWidth="1"/>
    <col min="14350" max="14353" width="20.7109375" customWidth="1"/>
    <col min="14594" max="14605" width="10.7109375" customWidth="1"/>
    <col min="14606" max="14609" width="20.7109375" customWidth="1"/>
    <col min="14850" max="14861" width="10.7109375" customWidth="1"/>
    <col min="14862" max="14865" width="20.7109375" customWidth="1"/>
    <col min="15106" max="15117" width="10.7109375" customWidth="1"/>
    <col min="15118" max="15121" width="20.7109375" customWidth="1"/>
    <col min="15362" max="15373" width="10.7109375" customWidth="1"/>
    <col min="15374" max="15377" width="20.7109375" customWidth="1"/>
    <col min="15618" max="15629" width="10.7109375" customWidth="1"/>
    <col min="15630" max="15633" width="20.7109375" customWidth="1"/>
    <col min="15874" max="15885" width="10.7109375" customWidth="1"/>
    <col min="15886" max="15889" width="20.7109375" customWidth="1"/>
    <col min="16130" max="16141" width="10.7109375" customWidth="1"/>
    <col min="16142" max="16145" width="20.7109375" customWidth="1"/>
  </cols>
  <sheetData>
    <row r="1" spans="1:15" s="41" customFormat="1" ht="30.95" customHeight="1">
      <c r="A1" s="672" t="str">
        <f>+'0. Project Details'!A7</f>
        <v>Project Name/Number:</v>
      </c>
      <c r="B1" s="673"/>
      <c r="C1" s="34" t="str">
        <f>CONCATENATE('0. Project Details'!G5," / ", '0. Project Details'!B7)</f>
        <v xml:space="preserve">Meandering River / </v>
      </c>
      <c r="D1" s="35"/>
      <c r="E1" s="35"/>
      <c r="F1" s="36"/>
      <c r="G1" s="37"/>
      <c r="H1" s="38"/>
      <c r="I1" s="39"/>
      <c r="J1" s="39"/>
      <c r="K1" s="39"/>
      <c r="L1" s="39"/>
      <c r="M1" s="40"/>
    </row>
    <row r="2" spans="1:15" s="41" customFormat="1" ht="30.95" customHeight="1">
      <c r="A2" s="674" t="str">
        <f>+'0. Project Details'!A5</f>
        <v>Company:</v>
      </c>
      <c r="B2" s="675"/>
      <c r="C2" s="42" t="str">
        <f>+'0. Project Details'!B5</f>
        <v xml:space="preserve"> Consultant</v>
      </c>
      <c r="D2" s="43"/>
      <c r="E2" s="43"/>
      <c r="F2" s="44"/>
      <c r="G2" s="45"/>
      <c r="H2" s="46"/>
      <c r="I2" s="47"/>
      <c r="J2" s="47"/>
      <c r="K2" s="47"/>
      <c r="L2" s="47"/>
      <c r="M2" s="48"/>
    </row>
    <row r="3" spans="1:15" s="41" customFormat="1" ht="30.95" customHeight="1">
      <c r="A3" s="674" t="str">
        <f>+'0. Project Details'!A6</f>
        <v>Designer:</v>
      </c>
      <c r="B3" s="675"/>
      <c r="C3" s="49" t="str">
        <f>+'0. Project Details'!B6</f>
        <v>John Doe</v>
      </c>
      <c r="D3" s="43"/>
      <c r="E3" s="43"/>
      <c r="F3" s="44"/>
      <c r="G3" s="50"/>
      <c r="H3" s="46"/>
      <c r="I3" s="47"/>
      <c r="J3" s="47"/>
      <c r="K3" s="47"/>
      <c r="L3" s="47"/>
      <c r="M3" s="48"/>
    </row>
    <row r="4" spans="1:15" s="41" customFormat="1" ht="30.95" customHeight="1">
      <c r="A4" s="674" t="str">
        <f>+'0. Project Details'!F6</f>
        <v>Date:</v>
      </c>
      <c r="B4" s="675"/>
      <c r="C4" s="676">
        <f>+'0. Project Details'!G6</f>
        <v>0</v>
      </c>
      <c r="D4" s="676"/>
      <c r="E4" s="43"/>
      <c r="F4" s="44"/>
      <c r="G4" s="44"/>
      <c r="H4" s="46"/>
      <c r="I4" s="47"/>
      <c r="J4" s="47"/>
      <c r="K4" s="47"/>
      <c r="L4" s="47"/>
      <c r="M4" s="48"/>
    </row>
    <row r="5" spans="1:15" s="41" customFormat="1" ht="30.95" customHeight="1" thickBot="1">
      <c r="A5" s="51" t="s">
        <v>27</v>
      </c>
      <c r="B5" s="52"/>
      <c r="C5" s="53">
        <f>+'0. Project Details'!B8</f>
        <v>0</v>
      </c>
      <c r="D5" s="54"/>
      <c r="E5" s="54"/>
      <c r="F5" s="52"/>
      <c r="G5" s="55"/>
      <c r="H5" s="56"/>
      <c r="I5" s="57"/>
      <c r="J5" s="57"/>
      <c r="K5" s="57"/>
      <c r="L5" s="57"/>
      <c r="M5" s="58"/>
    </row>
    <row r="6" spans="1:15" s="41" customFormat="1" ht="19.5" customHeight="1">
      <c r="A6" s="626"/>
      <c r="B6" s="627"/>
      <c r="C6" s="627"/>
      <c r="D6" s="627"/>
      <c r="E6" s="627"/>
      <c r="F6" s="627"/>
      <c r="G6" s="627"/>
      <c r="H6" s="627"/>
      <c r="I6" s="627"/>
      <c r="J6" s="627"/>
      <c r="K6" s="627"/>
      <c r="L6" s="627"/>
      <c r="M6" s="628"/>
    </row>
    <row r="7" spans="1:15" s="41" customFormat="1" ht="27" customHeight="1">
      <c r="A7" s="532" t="s">
        <v>96</v>
      </c>
      <c r="B7" s="533"/>
      <c r="C7" s="533"/>
      <c r="D7" s="533"/>
      <c r="E7" s="533"/>
      <c r="F7" s="533"/>
      <c r="G7" s="533"/>
      <c r="H7" s="533"/>
      <c r="I7" s="533"/>
      <c r="J7" s="533"/>
      <c r="K7" s="533"/>
      <c r="L7" s="533"/>
      <c r="M7" s="534"/>
    </row>
    <row r="8" spans="1:15" s="41" customFormat="1" ht="15" customHeight="1" thickBot="1">
      <c r="A8" s="59"/>
      <c r="B8" s="60"/>
      <c r="C8" s="60"/>
      <c r="D8" s="60"/>
      <c r="E8" s="60"/>
      <c r="F8" s="60"/>
      <c r="G8" s="60"/>
      <c r="H8" s="60"/>
      <c r="I8" s="60"/>
      <c r="J8" s="60"/>
      <c r="K8" s="60"/>
      <c r="L8" s="60"/>
      <c r="M8" s="61"/>
    </row>
    <row r="9" spans="1:15" ht="15" customHeight="1">
      <c r="A9" s="629" t="s">
        <v>97</v>
      </c>
      <c r="B9" s="630"/>
      <c r="C9" s="630"/>
      <c r="D9" s="630"/>
      <c r="E9" s="630"/>
      <c r="F9" s="630"/>
      <c r="G9" s="630"/>
      <c r="H9" s="630"/>
      <c r="I9" s="630"/>
      <c r="J9" s="630"/>
      <c r="K9" s="630"/>
      <c r="L9" s="630"/>
      <c r="M9" s="631"/>
      <c r="N9" s="667"/>
      <c r="O9" s="667"/>
    </row>
    <row r="10" spans="1:15" ht="15" customHeight="1">
      <c r="A10" s="632"/>
      <c r="B10" s="633"/>
      <c r="C10" s="633"/>
      <c r="D10" s="633"/>
      <c r="E10" s="633"/>
      <c r="F10" s="633"/>
      <c r="G10" s="633"/>
      <c r="H10" s="633"/>
      <c r="I10" s="633"/>
      <c r="J10" s="633"/>
      <c r="K10" s="633"/>
      <c r="L10" s="633"/>
      <c r="M10" s="634"/>
      <c r="N10" s="62"/>
    </row>
    <row r="11" spans="1:15" s="65" customFormat="1" ht="42.6">
      <c r="A11" s="647" t="s">
        <v>75</v>
      </c>
      <c r="B11" s="618"/>
      <c r="C11" s="63" t="s">
        <v>98</v>
      </c>
      <c r="D11" s="63" t="s">
        <v>99</v>
      </c>
      <c r="E11" s="63" t="s">
        <v>100</v>
      </c>
      <c r="F11" s="63" t="s">
        <v>101</v>
      </c>
      <c r="G11" s="64" t="s">
        <v>102</v>
      </c>
      <c r="M11" s="66"/>
      <c r="N11"/>
    </row>
    <row r="12" spans="1:15" ht="15" customHeight="1">
      <c r="A12" s="668" t="str">
        <f>+IF('1. Block Properties'!A12="","",'1. Block Properties'!A12)</f>
        <v>4-inch open cell</v>
      </c>
      <c r="B12" s="669"/>
      <c r="C12" s="67">
        <f>IF('1. Block Properties'!A12="","",'1. Block Properties'!D12/2)</f>
        <v>2</v>
      </c>
      <c r="D12" s="67">
        <f>IF('1. Block Properties'!A12="","",SQRT(('1. Block Properties'!C12/2)^2+('1. Block Properties'!B12/2)^2))</f>
        <v>8.4852813742385695</v>
      </c>
      <c r="E12" s="67">
        <f>IF('1. Block Properties'!A12="","",0.8*'1. Block Properties'!D12)</f>
        <v>3.2</v>
      </c>
      <c r="F12" s="67">
        <f>+IF('1. Block Properties'!A12="","",D12)</f>
        <v>8.4852813742385695</v>
      </c>
      <c r="G12" s="67">
        <f>IF('1. Block Properties'!A12="","",'1. Block Properties'!B29)</f>
        <v>11</v>
      </c>
      <c r="M12" s="68"/>
    </row>
    <row r="13" spans="1:15" ht="15" customHeight="1">
      <c r="A13" s="668" t="str">
        <f>+IF('1. Block Properties'!A13="","",'1. Block Properties'!A13)</f>
        <v>4.5-inch open cell</v>
      </c>
      <c r="B13" s="669"/>
      <c r="C13" s="67">
        <f>IF('1. Block Properties'!A13="","",'1. Block Properties'!D13/2)</f>
        <v>2.5</v>
      </c>
      <c r="D13" s="67">
        <f>IF('1. Block Properties'!A13="","",SQRT(('1. Block Properties'!C13/2)^2+('1. Block Properties'!B13/2)^2))</f>
        <v>10.606601717798213</v>
      </c>
      <c r="E13" s="67">
        <f>IF('1. Block Properties'!A13="","",0.8*'1. Block Properties'!D13)</f>
        <v>4</v>
      </c>
      <c r="F13" s="67">
        <f>+IF('1. Block Properties'!A13="","",D13)</f>
        <v>10.606601717798213</v>
      </c>
      <c r="G13" s="67">
        <f>IF('1. Block Properties'!A13="","",'1. Block Properties'!B30)</f>
        <v>25</v>
      </c>
      <c r="M13" s="68"/>
    </row>
    <row r="14" spans="1:15" ht="15" customHeight="1">
      <c r="A14" s="668" t="str">
        <f>+IF('1. Block Properties'!A14="","",'1. Block Properties'!A14)</f>
        <v>6-inch open cell</v>
      </c>
      <c r="B14" s="669"/>
      <c r="C14" s="67">
        <f>IF('1. Block Properties'!A14="","",'1. Block Properties'!D14/2)</f>
        <v>2.5</v>
      </c>
      <c r="D14" s="67">
        <f>IF('1. Block Properties'!A14="","",SQRT(('1. Block Properties'!C14/2)^2+('1. Block Properties'!B14/2)^2))</f>
        <v>11.715374513859981</v>
      </c>
      <c r="E14" s="67">
        <f>IF('1. Block Properties'!A14="","",0.8*'1. Block Properties'!D14)</f>
        <v>4</v>
      </c>
      <c r="F14" s="67">
        <f>+IF('1. Block Properties'!A14="","",D14)</f>
        <v>11.715374513859981</v>
      </c>
      <c r="G14" s="67">
        <f>IF('1. Block Properties'!A14="","",'1. Block Properties'!B31)</f>
        <v>30</v>
      </c>
      <c r="M14" s="68"/>
    </row>
    <row r="15" spans="1:15" ht="15" customHeight="1" thickBot="1">
      <c r="A15" s="670" t="str">
        <f>+IF('1. Block Properties'!A15="","",'1. Block Properties'!A15)</f>
        <v>9-inch open cell</v>
      </c>
      <c r="B15" s="671"/>
      <c r="C15" s="69">
        <f>IF('1. Block Properties'!A15="","",'1. Block Properties'!D15/2)</f>
        <v>4.5</v>
      </c>
      <c r="D15" s="69">
        <f>IF('1. Block Properties'!A15="","",SQRT(('1. Block Properties'!C15/2)^2+('1. Block Properties'!B15/2)^2))</f>
        <v>11.59539240388181</v>
      </c>
      <c r="E15" s="69">
        <f>IF('1. Block Properties'!A15="","",0.8*'1. Block Properties'!D15)</f>
        <v>7.2</v>
      </c>
      <c r="F15" s="69">
        <f>+IF('1. Block Properties'!A15="","",D15)</f>
        <v>11.59539240388181</v>
      </c>
      <c r="G15" s="69">
        <f>IF('1. Block Properties'!A15="","",'1. Block Properties'!B32)</f>
        <v>27.9</v>
      </c>
      <c r="M15" s="68"/>
      <c r="O15" s="65"/>
    </row>
    <row r="16" spans="1:15" ht="15" customHeight="1">
      <c r="A16" s="596"/>
      <c r="B16" s="597"/>
      <c r="C16" s="597"/>
      <c r="D16" s="597"/>
      <c r="E16" s="597"/>
      <c r="F16" s="597"/>
      <c r="G16" s="597"/>
      <c r="H16" s="597"/>
      <c r="I16" s="597"/>
      <c r="J16" s="597"/>
      <c r="K16" s="597"/>
      <c r="L16" s="597"/>
      <c r="M16" s="598"/>
      <c r="O16" s="65"/>
    </row>
    <row r="17" spans="1:13" ht="15" customHeight="1">
      <c r="A17" s="59"/>
      <c r="B17" s="60"/>
      <c r="C17" s="60"/>
      <c r="D17" s="60"/>
      <c r="E17" s="60"/>
      <c r="F17" s="60"/>
      <c r="G17" s="60"/>
      <c r="H17" s="60"/>
      <c r="I17" s="60"/>
      <c r="J17" s="60"/>
      <c r="K17" s="60"/>
      <c r="L17" s="60"/>
      <c r="M17" s="61"/>
    </row>
    <row r="18" spans="1:13" ht="15" customHeight="1">
      <c r="A18" s="59"/>
      <c r="B18" s="60"/>
      <c r="C18" s="60"/>
      <c r="D18" s="60"/>
      <c r="E18" s="60"/>
      <c r="F18" s="60"/>
      <c r="G18" s="60"/>
      <c r="H18" s="60"/>
      <c r="I18" s="60"/>
      <c r="J18" s="60"/>
      <c r="K18" s="60"/>
      <c r="L18" s="60"/>
      <c r="M18" s="61"/>
    </row>
    <row r="19" spans="1:13" ht="15" customHeight="1">
      <c r="A19" s="59"/>
      <c r="B19" s="60"/>
      <c r="C19" s="60"/>
      <c r="D19" s="60"/>
      <c r="E19" s="60"/>
      <c r="F19" s="60"/>
      <c r="G19" s="60"/>
      <c r="H19" s="60"/>
      <c r="I19" s="60"/>
      <c r="J19" s="60"/>
      <c r="K19" s="60"/>
      <c r="L19" s="60"/>
      <c r="M19" s="61"/>
    </row>
    <row r="20" spans="1:13" ht="15" customHeight="1">
      <c r="A20" s="59"/>
      <c r="B20" s="60"/>
      <c r="C20" s="60"/>
      <c r="D20" s="60"/>
      <c r="E20" s="60"/>
      <c r="F20" s="60"/>
      <c r="G20" s="60"/>
      <c r="H20" s="60"/>
      <c r="I20" s="60"/>
      <c r="J20" s="60"/>
      <c r="K20" s="60"/>
      <c r="L20" s="60"/>
      <c r="M20" s="61"/>
    </row>
    <row r="21" spans="1:13" ht="15" customHeight="1">
      <c r="A21" s="59"/>
      <c r="B21" s="60"/>
      <c r="C21" s="60"/>
      <c r="D21" s="60"/>
      <c r="E21" s="60"/>
      <c r="F21" s="60"/>
      <c r="G21" s="60"/>
      <c r="H21" s="60"/>
      <c r="I21" s="60"/>
      <c r="J21" s="60"/>
      <c r="K21" s="60"/>
      <c r="L21" s="60"/>
      <c r="M21" s="61"/>
    </row>
    <row r="22" spans="1:13" ht="15" customHeight="1" thickBot="1">
      <c r="A22" s="59"/>
      <c r="B22" s="60"/>
      <c r="C22" s="60"/>
      <c r="D22" s="60"/>
      <c r="E22" s="60"/>
      <c r="F22" s="60"/>
      <c r="G22" s="60"/>
      <c r="H22" s="60"/>
      <c r="I22" s="60"/>
      <c r="J22" s="70"/>
      <c r="K22" s="71"/>
      <c r="L22" s="71"/>
      <c r="M22" s="72"/>
    </row>
    <row r="23" spans="1:13" ht="15" customHeight="1">
      <c r="A23" s="629" t="s">
        <v>103</v>
      </c>
      <c r="B23" s="630"/>
      <c r="C23" s="630"/>
      <c r="D23" s="630"/>
      <c r="E23" s="630"/>
      <c r="F23" s="630"/>
      <c r="G23" s="630"/>
      <c r="H23" s="630"/>
      <c r="I23" s="630"/>
      <c r="J23" s="630"/>
      <c r="K23" s="630"/>
      <c r="L23" s="630"/>
      <c r="M23" s="631"/>
    </row>
    <row r="24" spans="1:13" ht="15" customHeight="1">
      <c r="A24" s="637"/>
      <c r="B24" s="638"/>
      <c r="C24" s="638"/>
      <c r="D24" s="638"/>
      <c r="E24" s="638"/>
      <c r="F24" s="638"/>
      <c r="G24" s="638"/>
      <c r="H24" s="638"/>
      <c r="I24" s="638"/>
      <c r="J24" s="638"/>
      <c r="K24" s="638"/>
      <c r="L24" s="638"/>
      <c r="M24" s="639"/>
    </row>
    <row r="25" spans="1:13" ht="15" customHeight="1">
      <c r="A25" s="616"/>
      <c r="B25" s="608"/>
      <c r="C25" s="608"/>
      <c r="D25" s="608"/>
      <c r="E25" s="608"/>
      <c r="F25" s="640" t="s">
        <v>104</v>
      </c>
      <c r="G25" s="640"/>
      <c r="H25" s="608" t="s">
        <v>34</v>
      </c>
      <c r="I25" s="608"/>
      <c r="J25" s="608" t="s">
        <v>35</v>
      </c>
      <c r="K25" s="608"/>
      <c r="L25" s="60"/>
      <c r="M25" s="61"/>
    </row>
    <row r="26" spans="1:13" ht="15" customHeight="1">
      <c r="A26" s="609" t="s">
        <v>105</v>
      </c>
      <c r="B26" s="610"/>
      <c r="C26" s="610"/>
      <c r="D26" s="610"/>
      <c r="E26" s="610"/>
      <c r="F26" s="641">
        <f>IF('0. Project Details'!E15="","",'0. Project Details'!E15)</f>
        <v>1</v>
      </c>
      <c r="G26" s="641"/>
      <c r="H26" s="618">
        <f>+ATAN(F26/100)*180/PI()</f>
        <v>0.57293869768348593</v>
      </c>
      <c r="I26" s="618"/>
      <c r="J26" s="621">
        <f>+H26*PI()/180</f>
        <v>9.9996666866652376E-3</v>
      </c>
      <c r="K26" s="621"/>
      <c r="L26" s="73"/>
      <c r="M26" s="61"/>
    </row>
    <row r="27" spans="1:13" ht="15" customHeight="1">
      <c r="A27" s="609" t="s">
        <v>106</v>
      </c>
      <c r="B27" s="610"/>
      <c r="C27" s="610"/>
      <c r="D27" s="610"/>
      <c r="E27" s="610"/>
      <c r="F27" s="641">
        <f>IF('0. Project Details'!E16="","",'0. Project Details'!E16)</f>
        <v>50</v>
      </c>
      <c r="G27" s="641"/>
      <c r="H27" s="618">
        <f>+ATAN(F27/100)*180/PI()</f>
        <v>26.56505117707799</v>
      </c>
      <c r="I27" s="618"/>
      <c r="J27" s="621">
        <f>+H27*PI()/180</f>
        <v>0.46364760900080615</v>
      </c>
      <c r="K27" s="621"/>
      <c r="L27" s="73"/>
      <c r="M27" s="61"/>
    </row>
    <row r="28" spans="1:13" ht="15" customHeight="1">
      <c r="A28" s="609" t="s">
        <v>107</v>
      </c>
      <c r="B28" s="610"/>
      <c r="C28" s="610"/>
      <c r="D28" s="610"/>
      <c r="E28" s="610"/>
      <c r="F28" s="641">
        <f>IF('0. Project Details'!E17="","",'0. Project Details'!E17)</f>
        <v>8</v>
      </c>
      <c r="G28" s="641"/>
      <c r="H28" s="608"/>
      <c r="I28" s="608"/>
      <c r="J28" s="608"/>
      <c r="K28" s="608"/>
      <c r="L28" s="60"/>
      <c r="M28" s="61"/>
    </row>
    <row r="29" spans="1:13" ht="15" customHeight="1">
      <c r="A29" s="609" t="s">
        <v>108</v>
      </c>
      <c r="B29" s="610"/>
      <c r="C29" s="610"/>
      <c r="D29" s="610"/>
      <c r="E29" s="610"/>
      <c r="F29" s="641">
        <f>IF('0. Project Details'!E18="","",'0. Project Details'!E18)</f>
        <v>2.87810650887574</v>
      </c>
      <c r="G29" s="641"/>
      <c r="H29" s="608"/>
      <c r="I29" s="608"/>
      <c r="J29" s="608"/>
      <c r="K29" s="608"/>
      <c r="L29" s="60"/>
      <c r="M29" s="61"/>
    </row>
    <row r="30" spans="1:13" ht="15" customHeight="1">
      <c r="A30" s="609" t="s">
        <v>109</v>
      </c>
      <c r="B30" s="610"/>
      <c r="C30" s="610"/>
      <c r="D30" s="610"/>
      <c r="E30" s="610"/>
      <c r="F30" s="641">
        <f>IF('0. Project Details'!E19="","",'0. Project Details'!E19)</f>
        <v>0.48</v>
      </c>
      <c r="G30" s="641"/>
      <c r="H30" s="608"/>
      <c r="I30" s="608"/>
      <c r="J30" s="608"/>
      <c r="K30" s="608"/>
      <c r="L30" s="60"/>
      <c r="M30" s="61"/>
    </row>
    <row r="31" spans="1:13" ht="15" customHeight="1">
      <c r="A31" s="596"/>
      <c r="B31" s="597"/>
      <c r="C31" s="597"/>
      <c r="D31" s="597"/>
      <c r="E31" s="597"/>
      <c r="F31" s="597"/>
      <c r="G31" s="597"/>
      <c r="H31" s="597"/>
      <c r="I31" s="597"/>
      <c r="J31" s="597"/>
      <c r="K31" s="597"/>
      <c r="L31" s="597"/>
      <c r="M31" s="598"/>
    </row>
    <row r="32" spans="1:13" ht="27.75" customHeight="1">
      <c r="A32" s="648" t="s">
        <v>110</v>
      </c>
      <c r="B32" s="649"/>
      <c r="C32" s="649"/>
      <c r="D32" s="649"/>
      <c r="E32" s="649"/>
      <c r="F32" s="650" t="str">
        <f>IF('0. Project Details'!E21="","",'0. Project Details'!E21)</f>
        <v>a) Perpendicular to block width (b)</v>
      </c>
      <c r="G32" s="650"/>
      <c r="H32" s="74"/>
      <c r="I32" s="75"/>
      <c r="J32" s="75"/>
      <c r="K32" s="76"/>
      <c r="L32" s="77"/>
      <c r="M32" s="61"/>
    </row>
    <row r="33" spans="1:17" ht="15" customHeight="1" thickBot="1">
      <c r="A33" s="644"/>
      <c r="B33" s="645"/>
      <c r="C33" s="645"/>
      <c r="D33" s="645"/>
      <c r="E33" s="645"/>
      <c r="F33" s="645"/>
      <c r="G33" s="645"/>
      <c r="H33" s="645"/>
      <c r="I33" s="645"/>
      <c r="J33" s="645"/>
      <c r="K33" s="645"/>
      <c r="L33" s="645"/>
      <c r="M33" s="646"/>
    </row>
    <row r="34" spans="1:17" ht="15" customHeight="1">
      <c r="A34" s="606" t="s">
        <v>111</v>
      </c>
      <c r="B34" s="607"/>
      <c r="C34" s="607"/>
      <c r="D34" s="607"/>
      <c r="E34" s="607"/>
      <c r="F34" s="657">
        <f>IF('0. Project Details'!E23="","",'0. Project Details'!E23)</f>
        <v>62.4</v>
      </c>
      <c r="G34" s="658"/>
      <c r="H34" s="659" t="s">
        <v>112</v>
      </c>
      <c r="I34" s="661" t="s">
        <v>113</v>
      </c>
      <c r="J34" s="661"/>
      <c r="K34" s="661"/>
      <c r="L34" s="661"/>
      <c r="M34" s="662"/>
      <c r="N34" s="78"/>
      <c r="O34" s="78"/>
      <c r="P34" s="78"/>
    </row>
    <row r="35" spans="1:17" ht="15" customHeight="1">
      <c r="A35" s="606" t="s">
        <v>114</v>
      </c>
      <c r="B35" s="607"/>
      <c r="C35" s="607"/>
      <c r="D35" s="607"/>
      <c r="E35" s="607"/>
      <c r="F35" s="665">
        <f>IF('0. Project Details'!E24="","",'0. Project Details'!E24)</f>
        <v>131</v>
      </c>
      <c r="G35" s="666"/>
      <c r="H35" s="660"/>
      <c r="I35" s="663"/>
      <c r="J35" s="663"/>
      <c r="K35" s="663"/>
      <c r="L35" s="663"/>
      <c r="M35" s="664"/>
      <c r="N35" s="78"/>
      <c r="O35" s="78"/>
      <c r="P35" s="78"/>
    </row>
    <row r="36" spans="1:17" ht="15" customHeight="1">
      <c r="A36" s="606" t="s">
        <v>115</v>
      </c>
      <c r="B36" s="607"/>
      <c r="C36" s="607"/>
      <c r="D36" s="607"/>
      <c r="E36" s="607"/>
      <c r="F36" s="641">
        <f>+F34/32.165</f>
        <v>1.9399968910306233</v>
      </c>
      <c r="G36" s="641"/>
      <c r="H36" s="60"/>
      <c r="I36" s="60"/>
      <c r="J36" s="60"/>
      <c r="K36" s="60"/>
      <c r="L36" s="60"/>
      <c r="M36" s="61"/>
    </row>
    <row r="37" spans="1:17" ht="15" customHeight="1">
      <c r="A37" s="59"/>
      <c r="B37" s="60"/>
      <c r="C37" s="60"/>
      <c r="D37" s="60"/>
      <c r="E37" s="60"/>
      <c r="F37" s="60"/>
      <c r="G37" s="60"/>
      <c r="H37" s="60"/>
      <c r="I37" s="60"/>
      <c r="J37" s="60"/>
      <c r="K37" s="60"/>
      <c r="L37" s="60"/>
      <c r="M37" s="61"/>
    </row>
    <row r="38" spans="1:17" ht="15" customHeight="1" thickBot="1">
      <c r="A38" s="59"/>
      <c r="B38" s="60"/>
      <c r="C38" s="60"/>
      <c r="D38" s="60"/>
      <c r="E38" s="60"/>
      <c r="F38" s="60"/>
      <c r="G38" s="60"/>
      <c r="H38" s="60"/>
      <c r="I38" s="60"/>
      <c r="J38" s="60"/>
      <c r="K38" s="60"/>
      <c r="L38" s="60"/>
      <c r="M38" s="61"/>
    </row>
    <row r="39" spans="1:17" ht="15" customHeight="1">
      <c r="A39" s="651" t="s">
        <v>116</v>
      </c>
      <c r="B39" s="652"/>
      <c r="C39" s="652"/>
      <c r="D39" s="652"/>
      <c r="E39" s="652"/>
      <c r="F39" s="652"/>
      <c r="G39" s="652"/>
      <c r="H39" s="652"/>
      <c r="I39" s="652"/>
      <c r="J39" s="652"/>
      <c r="K39" s="652"/>
      <c r="L39" s="652"/>
      <c r="M39" s="653"/>
    </row>
    <row r="40" spans="1:17" ht="15" customHeight="1">
      <c r="A40" s="654"/>
      <c r="B40" s="655"/>
      <c r="C40" s="655"/>
      <c r="D40" s="655"/>
      <c r="E40" s="655"/>
      <c r="F40" s="655"/>
      <c r="G40" s="655"/>
      <c r="H40" s="655"/>
      <c r="I40" s="655"/>
      <c r="J40" s="655"/>
      <c r="K40" s="655"/>
      <c r="L40" s="655"/>
      <c r="M40" s="656"/>
    </row>
    <row r="41" spans="1:17" ht="36" customHeight="1">
      <c r="A41" s="647" t="s">
        <v>75</v>
      </c>
      <c r="B41" s="618"/>
      <c r="C41" s="63" t="s">
        <v>117</v>
      </c>
      <c r="D41" s="63" t="s">
        <v>118</v>
      </c>
      <c r="E41" s="63" t="s">
        <v>119</v>
      </c>
      <c r="F41" s="63" t="s">
        <v>120</v>
      </c>
      <c r="G41" s="63" t="s">
        <v>121</v>
      </c>
      <c r="H41" s="63" t="s">
        <v>122</v>
      </c>
      <c r="I41" s="63" t="s">
        <v>123</v>
      </c>
      <c r="J41" s="63" t="s">
        <v>124</v>
      </c>
      <c r="K41" s="64" t="s">
        <v>125</v>
      </c>
      <c r="L41" s="79" t="s">
        <v>126</v>
      </c>
      <c r="M41" s="68"/>
    </row>
    <row r="42" spans="1:17" ht="15" customHeight="1">
      <c r="A42" s="642" t="str">
        <f>+IF(A12="","",A12)</f>
        <v>4-inch open cell</v>
      </c>
      <c r="B42" s="643"/>
      <c r="C42" s="80">
        <f>IF(A42="","",$F$29/G12)</f>
        <v>0.2616460462614309</v>
      </c>
      <c r="D42" s="80">
        <f>IF(A42="","",SQRT((COS($H$26*PI()/180)^2)-(SIN($H$27*PI()/180)^2)))</f>
        <v>0.89437129314340147</v>
      </c>
      <c r="E42" s="80">
        <f>IF(A42="","",D12/C12)</f>
        <v>4.2426406871192848</v>
      </c>
      <c r="F42" s="80">
        <f>IF(A42="","",F12/E12)</f>
        <v>2.6516504294495529</v>
      </c>
      <c r="G42" s="80">
        <f>IF(A42="","",ATAN((TAN($H$26*PI()/180)/(TAN($H$27*PI()/180)))))</f>
        <v>1.9997333973150535E-2</v>
      </c>
      <c r="H42" s="80">
        <f>IF(A42="","",ATAN(COS($J$26+G42)/(((F42+1)*SQRT(1-D42^2)/C42/E42)+SIN($J$26+G42))))</f>
        <v>0.5873339865436028</v>
      </c>
      <c r="I42" s="80">
        <f>IF(A42="","",((F42+SIN($J$26+G42+H42))/(F42+1))*C42)</f>
        <v>0.23147081512691911</v>
      </c>
      <c r="J42" s="81">
        <f>IF(A42="","",IF($F$32="a) Perpendicular to block width (b)",0.5*$F$30/12*'1. Block Properties'!$C$12/12*$F$36*$F$28^2,0.5*$F$30/12*D12*2/12*$F$36*$F$28^2))</f>
        <v>2.4831960205191979</v>
      </c>
      <c r="K42" s="82">
        <f>IF(A42="","",'1. Block Properties'!F12*((($F$35/62.4)-1)/($F$35/62.4)))</f>
        <v>20.946564885496187</v>
      </c>
      <c r="L42" s="83">
        <f>IF(A42="","",E42*D42/(SQRT(1-D42^2)*COS(H42)+I42*E42+((E12*J42*COS(PI()/2-H42-G42)+F12*J42)/(C12*K42))))</f>
        <v>1.9304350383175282</v>
      </c>
      <c r="M42" s="68"/>
    </row>
    <row r="43" spans="1:17" ht="15" customHeight="1">
      <c r="A43" s="642" t="str">
        <f>+IF(A13="","",A13)</f>
        <v>4.5-inch open cell</v>
      </c>
      <c r="B43" s="643"/>
      <c r="C43" s="80">
        <f>IF(A43="","",$F$29/G13)</f>
        <v>0.1151242603550296</v>
      </c>
      <c r="D43" s="80">
        <f>+SQRT((COS($H$26*PI()/180)^2)-(SIN($H$27*PI()/180)^2))</f>
        <v>0.89437129314340147</v>
      </c>
      <c r="E43" s="80">
        <f>+D13/C13</f>
        <v>4.2426406871192857</v>
      </c>
      <c r="F43" s="80">
        <f>+F13/E13</f>
        <v>2.6516504294495533</v>
      </c>
      <c r="G43" s="80">
        <f>+ATAN((TAN($H$26*PI()/180)/(TAN($H$27*PI()/180))))</f>
        <v>1.9997333973150535E-2</v>
      </c>
      <c r="H43" s="80">
        <f>+ATAN(COS($J$26+G43)/(((F43+1)*SQRT(1-D43^2)/C43/E43)+SIN($J$26+G43)))</f>
        <v>0.28798726117007367</v>
      </c>
      <c r="I43" s="80">
        <f>+((F43+SIN($J$26+G43+H43))/(F43+1))*C43</f>
        <v>9.345450510254949E-2</v>
      </c>
      <c r="J43" s="81">
        <f>IF(A43="","",IF($F$32="a) Perpendicular to block width (b)",0.5*$F$30/12*'1. Block Properties'!$C$12/12*$F$36*$F$28^2,0.5*$F$30/12*D13*2/12*$F$36*$F$28^2))</f>
        <v>2.4831960205191979</v>
      </c>
      <c r="K43" s="82">
        <f>+'1. Block Properties'!F13*((($F$35/62.4)-1)/($F$35/62.4))</f>
        <v>34.561832061068706</v>
      </c>
      <c r="L43" s="83">
        <f>+E43*D43/(SQRT(1-D43^2)*COS(H43)+I43*E43+((E13*J43*COS(PI()/2-H43-G43)+F13*J43)/(C13*K43)))</f>
        <v>3.2568823559561397</v>
      </c>
      <c r="M43" s="68"/>
    </row>
    <row r="44" spans="1:17" ht="15" customHeight="1">
      <c r="A44" s="642" t="str">
        <f>+IF(A14="","",A14)</f>
        <v>6-inch open cell</v>
      </c>
      <c r="B44" s="643"/>
      <c r="C44" s="80">
        <f>IF(A44="","",$F$29/G14)</f>
        <v>9.5936883629191338E-2</v>
      </c>
      <c r="D44" s="80">
        <f>+SQRT((COS($H$26*PI()/180)^2)-(SIN($H$27*PI()/180)^2))</f>
        <v>0.89437129314340147</v>
      </c>
      <c r="E44" s="80">
        <f>+D14/C14</f>
        <v>4.6861498055439927</v>
      </c>
      <c r="F44" s="80">
        <f>+F14/E14</f>
        <v>2.9288436284649952</v>
      </c>
      <c r="G44" s="80">
        <f>+ATAN((TAN($H$26*PI()/180)/(TAN($H$27*PI()/180))))</f>
        <v>1.9997333973150535E-2</v>
      </c>
      <c r="H44" s="80">
        <f>+ATAN(COS($J$26+G44)/(((F44+1)*SQRT(1-D44^2)/C44/E44)+SIN($J$26+G44)))</f>
        <v>0.24850094094706979</v>
      </c>
      <c r="I44" s="80">
        <f>+((F44+SIN($J$26+G44+H44))/(F44+1))*C44</f>
        <v>7.8231240150258341E-2</v>
      </c>
      <c r="J44" s="81">
        <f>IF(A44="","",IF($F$32="a) Perpendicular to block width (b)",0.5*$F$30/12*'1. Block Properties'!$C$12/12*$F$36*$F$28^2,0.5*$F$30/12*D14*2/12*$F$36*$F$28^2))</f>
        <v>2.4831960205191979</v>
      </c>
      <c r="K44" s="82">
        <f>+'1. Block Properties'!F14*((($F$35/62.4)-1)/($F$35/62.4))</f>
        <v>38.1751145038168</v>
      </c>
      <c r="L44" s="83">
        <f>+E44*D44/(SQRT(1-D44^2)*COS(H44)+I44*E44+((E14*J44*COS(PI()/2-H44-G44)+F14*J44)/(C14*K44)))</f>
        <v>3.7004099433698259</v>
      </c>
      <c r="M44" s="68"/>
      <c r="N44" s="84"/>
    </row>
    <row r="45" spans="1:17" ht="15" customHeight="1">
      <c r="A45" s="642" t="str">
        <f>+IF(A15="","",A15)</f>
        <v>9-inch open cell</v>
      </c>
      <c r="B45" s="643"/>
      <c r="C45" s="80">
        <f>IF(A45="","",$F$29/G15)</f>
        <v>0.10315793938622725</v>
      </c>
      <c r="D45" s="80">
        <f>IF(A45="","",SQRT((COS($H$26*PI()/180)^2)-(SIN($H$27*PI()/180)^2)))</f>
        <v>0.89437129314340147</v>
      </c>
      <c r="E45" s="80">
        <f>IF(A45="","",D15/C15)</f>
        <v>2.5767538675292911</v>
      </c>
      <c r="F45" s="80">
        <f>IF(A45="","",F15/E15)</f>
        <v>1.610471167205807</v>
      </c>
      <c r="G45" s="80">
        <f>IF(A45="","",ATAN((TAN($H$26*PI()/180)/(TAN($H$27*PI()/180)))))</f>
        <v>1.9997333973150535E-2</v>
      </c>
      <c r="H45" s="80">
        <f>IF(A45="","",ATAN(COS($J$26+G45)/(((F45+1)*SQRT(1-D45^2)/C45/E45)+SIN($J$26+G45))))</f>
        <v>0.22225334739935004</v>
      </c>
      <c r="I45" s="80">
        <f>IF(A45="","",((F45+SIN($J$26+G45+H45))/(F45+1))*C45)</f>
        <v>7.3503753590666729E-2</v>
      </c>
      <c r="J45" s="81">
        <f>IF(A45="","",IF($F$32="a) Perpendicular to block width (b)",0.5*$F$30/12*'1. Block Properties'!$C$12/12*$F$36*$F$28^2,0.5*$F$30/12*D15*2/12*$F$36*$F$28^2))</f>
        <v>2.4831960205191979</v>
      </c>
      <c r="K45" s="82">
        <f>IF(A45="","",'1. Block Properties'!F15*((($F$35/62.4)-1)/($F$35/62.4)))</f>
        <v>85.357251908396961</v>
      </c>
      <c r="L45" s="83">
        <f>IF(A45="","",E45*D45/(SQRT(1-D45^2)*COS(H45)+I45*E45+((E15*J45*COS(PI()/2-H45-G45)+F15*J45)/(C15*K45))))</f>
        <v>3.2374344895310139</v>
      </c>
      <c r="M45" s="68"/>
    </row>
    <row r="46" spans="1:17" ht="15" customHeight="1">
      <c r="A46" s="85"/>
      <c r="B46" s="86"/>
      <c r="C46" s="7"/>
      <c r="D46" s="7"/>
      <c r="E46" s="7"/>
      <c r="F46" s="7"/>
      <c r="G46" s="7"/>
      <c r="H46" s="7"/>
      <c r="I46" s="7"/>
      <c r="J46" s="87"/>
      <c r="K46" s="88"/>
      <c r="L46" s="88"/>
      <c r="M46" s="68"/>
      <c r="O46" s="88"/>
      <c r="P46" s="88"/>
      <c r="Q46" s="88"/>
    </row>
    <row r="47" spans="1:17" ht="29.1">
      <c r="A47" s="647" t="s">
        <v>75</v>
      </c>
      <c r="B47" s="618"/>
      <c r="C47" s="64" t="s">
        <v>127</v>
      </c>
      <c r="D47" s="64" t="s">
        <v>128</v>
      </c>
      <c r="E47" s="89" t="s">
        <v>129</v>
      </c>
      <c r="F47" s="64" t="s">
        <v>130</v>
      </c>
      <c r="G47" s="7"/>
      <c r="H47" s="90" t="s">
        <v>131</v>
      </c>
      <c r="I47" s="90"/>
      <c r="J47" s="90"/>
      <c r="K47" s="90"/>
      <c r="L47" s="90"/>
      <c r="M47" s="68"/>
      <c r="O47" s="81" t="s">
        <v>132</v>
      </c>
      <c r="P47" s="88"/>
      <c r="Q47" s="88"/>
    </row>
    <row r="48" spans="1:17" ht="15" customHeight="1">
      <c r="A48" s="642" t="str">
        <f>+A42</f>
        <v>4-inch open cell</v>
      </c>
      <c r="B48" s="643"/>
      <c r="C48" s="82" t="str">
        <f>IF(A42="","",IF(L42&gt;='0. Project Details'!$B$9,"Ok","Not Ok"))</f>
        <v>Ok</v>
      </c>
      <c r="D48" s="82" t="str">
        <f>IF(A42="","",IF($F$28&lt;'1. Block Properties'!C29,"Ok","Not Ok"))</f>
        <v>Ok</v>
      </c>
      <c r="E48" s="91" t="str">
        <f>IF(A42="","",IF($H$26&lt;'1. Block Properties'!I29,"Ok","Not Ok"))</f>
        <v>Ok</v>
      </c>
      <c r="F48" s="82" t="str">
        <f>IF(A42="","",IF(F29&lt;'1. Block Properties'!B29,"Ok","Not Ok"))</f>
        <v>Ok</v>
      </c>
      <c r="G48" s="7"/>
      <c r="H48" s="7"/>
      <c r="I48" s="7"/>
      <c r="J48" s="87"/>
      <c r="K48" s="88"/>
      <c r="L48" s="88"/>
      <c r="M48" s="68"/>
      <c r="O48" s="92">
        <f>+IF(A48="","",IF(C48="Ok",L42,""))</f>
        <v>1.9304350383175282</v>
      </c>
      <c r="P48" s="88"/>
      <c r="Q48" s="88"/>
    </row>
    <row r="49" spans="1:17" ht="15" customHeight="1">
      <c r="A49" s="642" t="str">
        <f>+A43</f>
        <v>4.5-inch open cell</v>
      </c>
      <c r="B49" s="643"/>
      <c r="C49" s="82" t="str">
        <f>IF(A43="","",IF(L43&gt;='0. Project Details'!$B$9,"Ok","Not Ok"))</f>
        <v>Ok</v>
      </c>
      <c r="D49" s="82" t="str">
        <f>IF(A43="","",IF($F$28&lt;'1. Block Properties'!C30,"Ok","Not Ok"))</f>
        <v>Ok</v>
      </c>
      <c r="E49" s="91" t="str">
        <f>IF(A43="","",IF($H$26&lt;'1. Block Properties'!I30,"Ok","Not Ok"))</f>
        <v>Ok</v>
      </c>
      <c r="F49" s="82" t="str">
        <f>IF(A43="","",IF(F29&lt;'1. Block Properties'!B30,"Ok","Not Ok"))</f>
        <v>Ok</v>
      </c>
      <c r="G49" s="7"/>
      <c r="H49" s="93" t="s">
        <v>133</v>
      </c>
      <c r="I49" s="60"/>
      <c r="J49" s="94" t="str">
        <f>+IF(O48=O52,A48,IF(O49=O52,A49,IF(O50=O52,A50,A51)))</f>
        <v>4-inch open cell</v>
      </c>
      <c r="K49" s="95"/>
      <c r="L49" s="96"/>
      <c r="M49" s="68"/>
      <c r="O49" s="92">
        <f t="shared" ref="O49:O50" si="0">+IF(A49="","",IF(C49="Ok",L43,""))</f>
        <v>3.2568823559561397</v>
      </c>
      <c r="P49" s="88"/>
      <c r="Q49" s="88"/>
    </row>
    <row r="50" spans="1:17" ht="15" customHeight="1">
      <c r="A50" s="642" t="str">
        <f>+A44</f>
        <v>6-inch open cell</v>
      </c>
      <c r="B50" s="643"/>
      <c r="C50" s="82" t="str">
        <f>IF(A44="","",IF(L44&gt;='0. Project Details'!$B$9,"Ok","Not Ok"))</f>
        <v>Ok</v>
      </c>
      <c r="D50" s="82" t="str">
        <f>IF(A44="","",IF($F$28&lt;'1. Block Properties'!C31,"Ok","Not Ok"))</f>
        <v>Ok</v>
      </c>
      <c r="E50" s="91" t="str">
        <f>IF(A44="","",IF($H$26&lt;'1. Block Properties'!I31,"Ok","Not Ok"))</f>
        <v>Ok</v>
      </c>
      <c r="F50" s="82" t="str">
        <f>IF(A44="","",IF(F29&lt;'1. Block Properties'!B31,"Ok","Not Ok"))</f>
        <v>Ok</v>
      </c>
      <c r="G50" s="7"/>
      <c r="H50" s="7"/>
      <c r="I50" s="7"/>
      <c r="J50" s="87"/>
      <c r="K50" s="88"/>
      <c r="L50" s="88"/>
      <c r="M50" s="68"/>
      <c r="O50" s="92">
        <f t="shared" si="0"/>
        <v>3.7004099433698259</v>
      </c>
      <c r="P50" s="88"/>
      <c r="Q50" s="88"/>
    </row>
    <row r="51" spans="1:17" ht="15" customHeight="1">
      <c r="A51" s="642" t="str">
        <f>+A45</f>
        <v>9-inch open cell</v>
      </c>
      <c r="B51" s="643"/>
      <c r="C51" s="82" t="str">
        <f>IF(A45="","",IF(L45&gt;='0. Project Details'!$B$9,"Ok","Not Ok"))</f>
        <v>Ok</v>
      </c>
      <c r="D51" s="82" t="str">
        <f>IF(A45="","",IF($F$28&lt;'1. Block Properties'!C32,"Ok","Not Ok"))</f>
        <v>Ok</v>
      </c>
      <c r="E51" s="91" t="str">
        <f>IF(A45="","",IF($H$26&lt;'1. Block Properties'!I32,"Ok","Not Ok"))</f>
        <v>Ok</v>
      </c>
      <c r="F51" s="82" t="str">
        <f>IF(A45="","",IF(F29&lt;'1. Block Properties'!B32,"Ok","Not Ok"))</f>
        <v>Ok</v>
      </c>
      <c r="G51" s="7"/>
      <c r="H51" s="7"/>
      <c r="I51" s="7"/>
      <c r="J51" s="87"/>
      <c r="K51" s="88"/>
      <c r="L51" s="88"/>
      <c r="M51" s="68"/>
      <c r="O51" s="92">
        <f>+IF(A51="","",IF(C51="Ok",L45,""))</f>
        <v>3.2374344895310139</v>
      </c>
      <c r="P51" s="88"/>
      <c r="Q51" s="88"/>
    </row>
    <row r="52" spans="1:17" ht="15" customHeight="1">
      <c r="A52" s="85"/>
      <c r="B52" s="86"/>
      <c r="C52" s="7"/>
      <c r="D52" s="7"/>
      <c r="E52" s="7"/>
      <c r="F52" s="7"/>
      <c r="G52" s="7"/>
      <c r="H52" s="7"/>
      <c r="I52" s="7"/>
      <c r="J52" s="87"/>
      <c r="K52" s="88"/>
      <c r="L52" s="88"/>
      <c r="M52" s="68"/>
      <c r="O52" s="82">
        <f>+MIN(O48:O51)</f>
        <v>1.9304350383175282</v>
      </c>
      <c r="P52" s="88"/>
      <c r="Q52" s="88"/>
    </row>
    <row r="53" spans="1:17" ht="15" customHeight="1" thickBot="1">
      <c r="A53" s="97"/>
      <c r="B53" s="98"/>
      <c r="C53" s="98"/>
      <c r="D53" s="98"/>
      <c r="E53" s="98"/>
      <c r="F53" s="98"/>
      <c r="G53" s="98"/>
      <c r="H53" s="98"/>
      <c r="I53" s="98"/>
      <c r="J53" s="98"/>
      <c r="K53" s="98"/>
      <c r="L53" s="98"/>
      <c r="M53" s="99"/>
    </row>
    <row r="54" spans="1:17" ht="21" customHeight="1">
      <c r="A54" s="60"/>
      <c r="B54" s="60"/>
      <c r="C54" s="60"/>
      <c r="D54" s="60"/>
      <c r="E54" s="60"/>
      <c r="F54" s="60"/>
      <c r="G54" s="60"/>
      <c r="H54" s="60"/>
      <c r="I54" s="60"/>
      <c r="J54" s="60"/>
      <c r="K54" s="60"/>
      <c r="L54" s="60"/>
      <c r="M54" s="60"/>
    </row>
    <row r="55" spans="1:17" ht="15" customHeight="1">
      <c r="A55" s="60"/>
      <c r="B55" s="60"/>
      <c r="C55" s="60"/>
      <c r="D55" s="60"/>
      <c r="E55" s="60"/>
      <c r="F55" s="60"/>
      <c r="G55" s="60"/>
      <c r="H55" s="60"/>
      <c r="I55" s="60"/>
      <c r="J55" s="60"/>
      <c r="K55" s="60"/>
      <c r="L55" s="60"/>
      <c r="M55" s="60"/>
    </row>
    <row r="56" spans="1:17" ht="15" customHeight="1">
      <c r="A56" s="60"/>
      <c r="B56" s="60"/>
      <c r="C56" s="60"/>
      <c r="D56" s="60"/>
      <c r="E56" s="60"/>
      <c r="F56" s="60"/>
      <c r="G56" s="60"/>
      <c r="H56" s="60"/>
      <c r="I56" s="60"/>
      <c r="J56" s="60"/>
      <c r="K56" s="60"/>
      <c r="L56" s="60"/>
      <c r="M56" s="60"/>
    </row>
    <row r="57" spans="1:17" ht="15" customHeight="1">
      <c r="A57" s="60"/>
      <c r="B57" s="60"/>
      <c r="C57" s="60"/>
      <c r="D57" s="60"/>
      <c r="E57" s="60"/>
      <c r="F57" s="60"/>
      <c r="G57" s="60"/>
      <c r="H57" s="60"/>
      <c r="I57" s="60"/>
      <c r="J57" s="60"/>
      <c r="K57" s="60"/>
      <c r="L57" s="60"/>
      <c r="M57" s="60"/>
    </row>
    <row r="58" spans="1:17" ht="15" customHeight="1">
      <c r="A58" s="60"/>
      <c r="B58" s="60"/>
      <c r="C58" s="60"/>
      <c r="D58" s="60"/>
      <c r="E58" s="60"/>
      <c r="F58" s="60"/>
      <c r="G58" s="60"/>
      <c r="H58" s="60"/>
      <c r="I58" s="60"/>
      <c r="J58" s="60"/>
      <c r="K58" s="60"/>
      <c r="L58" s="60"/>
      <c r="M58" s="60"/>
    </row>
    <row r="59" spans="1:17" ht="15" customHeight="1">
      <c r="A59" s="60"/>
      <c r="B59" s="60"/>
      <c r="C59" s="60"/>
      <c r="D59" s="60"/>
      <c r="E59" s="60"/>
      <c r="F59" s="60"/>
      <c r="G59" s="60"/>
      <c r="H59" s="60"/>
      <c r="I59" s="60"/>
      <c r="J59" s="60"/>
      <c r="K59" s="60"/>
      <c r="L59" s="60"/>
      <c r="M59" s="60"/>
    </row>
    <row r="60" spans="1:17" ht="15" customHeight="1">
      <c r="A60" s="60"/>
      <c r="B60" s="60"/>
      <c r="C60" s="60"/>
      <c r="D60" s="60"/>
      <c r="E60" s="60"/>
      <c r="F60" s="60"/>
      <c r="G60" s="60"/>
      <c r="H60" s="60"/>
      <c r="I60" s="60"/>
      <c r="J60" s="60"/>
      <c r="K60" s="60"/>
      <c r="L60" s="60"/>
      <c r="M60" s="60"/>
    </row>
    <row r="61" spans="1:17" ht="15" customHeight="1">
      <c r="A61" s="60"/>
      <c r="B61" s="60"/>
      <c r="C61" s="60"/>
      <c r="D61" s="60"/>
      <c r="E61" s="60"/>
      <c r="F61" s="60"/>
      <c r="G61" s="60"/>
      <c r="H61" s="60"/>
      <c r="I61" s="60"/>
      <c r="J61" s="60"/>
      <c r="K61" s="60"/>
      <c r="L61" s="60"/>
      <c r="M61" s="60"/>
    </row>
    <row r="62" spans="1:17" ht="15" customHeight="1">
      <c r="A62" s="60"/>
      <c r="B62" s="60"/>
      <c r="C62" s="60"/>
      <c r="D62" s="60"/>
      <c r="E62" s="60"/>
      <c r="F62" s="60"/>
      <c r="G62" s="60"/>
      <c r="H62" s="60"/>
      <c r="I62" s="60"/>
      <c r="J62" s="60"/>
      <c r="K62" s="60"/>
      <c r="L62" s="60"/>
      <c r="M62" s="60"/>
    </row>
    <row r="63" spans="1:17" ht="15" customHeight="1">
      <c r="A63" s="60"/>
      <c r="B63" s="60"/>
      <c r="C63" s="60"/>
      <c r="D63" s="60"/>
      <c r="E63" s="60"/>
      <c r="F63" s="60"/>
      <c r="G63" s="60"/>
      <c r="H63" s="60"/>
      <c r="I63" s="60"/>
      <c r="J63" s="60"/>
      <c r="K63" s="60"/>
      <c r="L63" s="60"/>
      <c r="M63" s="60"/>
    </row>
    <row r="64" spans="1:17" ht="15" customHeight="1">
      <c r="A64" s="16"/>
      <c r="B64" s="16"/>
      <c r="C64" s="16"/>
      <c r="D64" s="16"/>
      <c r="E64" s="16"/>
      <c r="F64" s="16"/>
      <c r="G64" s="16"/>
      <c r="H64" s="16"/>
      <c r="I64" s="16"/>
      <c r="J64" s="16"/>
      <c r="K64" s="16"/>
      <c r="L64" s="16"/>
      <c r="M64" s="16"/>
    </row>
    <row r="65" spans="1:13" ht="15" customHeight="1">
      <c r="A65" s="16"/>
      <c r="B65" s="16"/>
      <c r="C65" s="16"/>
      <c r="D65" s="16"/>
      <c r="E65" s="16"/>
      <c r="F65" s="16"/>
      <c r="G65" s="16"/>
      <c r="H65" s="16"/>
      <c r="I65" s="16"/>
      <c r="J65" s="16"/>
      <c r="K65" s="16"/>
      <c r="L65" s="16"/>
      <c r="M65" s="16"/>
    </row>
    <row r="66" spans="1:13" ht="15" customHeight="1"/>
    <row r="67" spans="1:13" ht="15" customHeight="1"/>
    <row r="68" spans="1:13" ht="15" customHeight="1"/>
    <row r="69" spans="1:13" ht="15" customHeight="1"/>
    <row r="70" spans="1:13" ht="15" customHeight="1"/>
    <row r="71" spans="1:13" ht="15" customHeight="1"/>
    <row r="72" spans="1:13" ht="15" customHeight="1"/>
    <row r="73" spans="1:13" ht="15" customHeight="1"/>
    <row r="74" spans="1:13" ht="15" customHeight="1"/>
    <row r="75" spans="1:13" ht="15" customHeight="1"/>
  </sheetData>
  <sheetProtection algorithmName="SHA-512" hashValue="U8sHqMAj8dX8Wuzce27iMmSAO1t2WNZeuV0/EbRjeWA56R8wptLXZtgGRNxDVuO49LBzzYREBVotowNOh/ezbg==" saltValue="TbyP1evLmOcLsZkrgiBMJg==" spinCount="100000" sheet="1" objects="1" scenarios="1"/>
  <mergeCells count="63">
    <mergeCell ref="A1:B1"/>
    <mergeCell ref="A2:B2"/>
    <mergeCell ref="A3:B3"/>
    <mergeCell ref="A4:B4"/>
    <mergeCell ref="C4:D4"/>
    <mergeCell ref="A15:B15"/>
    <mergeCell ref="A14:B14"/>
    <mergeCell ref="A13:B13"/>
    <mergeCell ref="H27:I27"/>
    <mergeCell ref="A30:E30"/>
    <mergeCell ref="F30:G30"/>
    <mergeCell ref="H30:I30"/>
    <mergeCell ref="A12:B12"/>
    <mergeCell ref="A6:M6"/>
    <mergeCell ref="A7:M7"/>
    <mergeCell ref="A11:B11"/>
    <mergeCell ref="A9:M10"/>
    <mergeCell ref="J30:K30"/>
    <mergeCell ref="A31:M31"/>
    <mergeCell ref="A51:B51"/>
    <mergeCell ref="N9:O9"/>
    <mergeCell ref="J28:K28"/>
    <mergeCell ref="A29:E29"/>
    <mergeCell ref="F29:G29"/>
    <mergeCell ref="H29:I29"/>
    <mergeCell ref="J29:K29"/>
    <mergeCell ref="A28:E28"/>
    <mergeCell ref="F28:G28"/>
    <mergeCell ref="H28:I28"/>
    <mergeCell ref="A26:E26"/>
    <mergeCell ref="F26:G26"/>
    <mergeCell ref="H26:I26"/>
    <mergeCell ref="J26:K26"/>
    <mergeCell ref="A32:E32"/>
    <mergeCell ref="F32:G32"/>
    <mergeCell ref="A39:M40"/>
    <mergeCell ref="A41:B41"/>
    <mergeCell ref="A42:B42"/>
    <mergeCell ref="A34:E34"/>
    <mergeCell ref="F34:G34"/>
    <mergeCell ref="H34:H35"/>
    <mergeCell ref="I34:M35"/>
    <mergeCell ref="A35:E35"/>
    <mergeCell ref="F35:G35"/>
    <mergeCell ref="A36:E36"/>
    <mergeCell ref="A49:B49"/>
    <mergeCell ref="A50:B50"/>
    <mergeCell ref="A44:B44"/>
    <mergeCell ref="A45:B45"/>
    <mergeCell ref="A33:M33"/>
    <mergeCell ref="F36:G36"/>
    <mergeCell ref="A47:B47"/>
    <mergeCell ref="A48:B48"/>
    <mergeCell ref="A43:B43"/>
    <mergeCell ref="J27:K27"/>
    <mergeCell ref="A16:M16"/>
    <mergeCell ref="A23:M24"/>
    <mergeCell ref="A25:E25"/>
    <mergeCell ref="F25:G25"/>
    <mergeCell ref="A27:E27"/>
    <mergeCell ref="F27:G27"/>
    <mergeCell ref="H25:I25"/>
    <mergeCell ref="J25:K25"/>
  </mergeCells>
  <pageMargins left="0.7" right="0.7" top="0.75" bottom="0.75" header="0.3" footer="0.55000000000000004"/>
  <pageSetup scale="70" fitToWidth="0" orientation="portrait" r:id="rId1"/>
  <headerFooter>
    <oddFooter>&amp;R&amp;10Revision 1/Date 3/2020</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A1:AD67"/>
  <sheetViews>
    <sheetView zoomScale="90" zoomScaleNormal="90" workbookViewId="0">
      <selection activeCell="F46" sqref="F46"/>
    </sheetView>
  </sheetViews>
  <sheetFormatPr defaultColWidth="9.140625" defaultRowHeight="14.45"/>
  <cols>
    <col min="1" max="1" width="9.140625" style="148" customWidth="1"/>
    <col min="2" max="2" width="11.42578125" customWidth="1"/>
    <col min="3" max="5" width="8.42578125" customWidth="1"/>
    <col min="6" max="6" width="10.42578125" customWidth="1"/>
    <col min="7" max="7" width="8.42578125" customWidth="1"/>
    <col min="8" max="8" width="10.140625" customWidth="1"/>
    <col min="9" max="9" width="9.140625" customWidth="1"/>
    <col min="10" max="12" width="8.42578125" customWidth="1"/>
    <col min="13" max="13" width="8.28515625" bestFit="1" customWidth="1"/>
    <col min="14" max="15" width="7.42578125" bestFit="1" customWidth="1"/>
    <col min="16" max="16" width="6.5703125" customWidth="1"/>
  </cols>
  <sheetData>
    <row r="1" spans="1:30" s="41" customFormat="1" ht="30.95" customHeight="1">
      <c r="A1" s="672" t="str">
        <f>+'0. Project Details'!A7</f>
        <v>Project Name/Number:</v>
      </c>
      <c r="B1" s="673"/>
      <c r="C1" s="34" t="str">
        <f>CONCATENATE('0. Project Details'!G5," / ", '0. Project Details'!B7)</f>
        <v xml:space="preserve">Meandering River / </v>
      </c>
      <c r="D1" s="100"/>
      <c r="E1" s="100"/>
      <c r="F1" s="100"/>
      <c r="G1" s="100"/>
      <c r="H1" s="101"/>
      <c r="I1" s="677"/>
      <c r="J1" s="678"/>
      <c r="K1" s="678"/>
      <c r="L1" s="678"/>
      <c r="M1" s="678"/>
      <c r="N1" s="678"/>
      <c r="O1" s="678"/>
      <c r="P1" s="679"/>
      <c r="S1" s="102"/>
      <c r="T1" s="102"/>
      <c r="U1" s="102"/>
      <c r="V1" s="102"/>
      <c r="W1" s="102"/>
      <c r="X1" s="102"/>
      <c r="Y1" s="103"/>
      <c r="Z1" s="103"/>
      <c r="AA1" s="103"/>
      <c r="AB1" s="103"/>
      <c r="AC1" s="103"/>
      <c r="AD1" s="103"/>
    </row>
    <row r="2" spans="1:30" s="41" customFormat="1" ht="30.95" customHeight="1">
      <c r="A2" s="674" t="str">
        <f>+'0. Project Details'!A5</f>
        <v>Company:</v>
      </c>
      <c r="B2" s="675"/>
      <c r="C2" s="42" t="str">
        <f>+'0. Project Details'!B5</f>
        <v xml:space="preserve"> Consultant</v>
      </c>
      <c r="D2" s="104"/>
      <c r="E2" s="104"/>
      <c r="F2" s="104"/>
      <c r="G2" s="104"/>
      <c r="H2" s="105"/>
      <c r="I2" s="106"/>
      <c r="J2" s="107"/>
      <c r="K2" s="107"/>
      <c r="L2" s="107"/>
      <c r="M2" s="107"/>
      <c r="N2" s="107"/>
      <c r="O2" s="107"/>
      <c r="P2" s="108"/>
      <c r="S2" s="102"/>
      <c r="T2" s="102"/>
      <c r="U2" s="102"/>
      <c r="V2" s="102"/>
      <c r="W2" s="102"/>
      <c r="X2" s="102"/>
      <c r="Y2" s="103"/>
      <c r="Z2" s="103"/>
      <c r="AA2" s="103"/>
      <c r="AB2" s="103"/>
      <c r="AC2" s="103"/>
      <c r="AD2" s="103"/>
    </row>
    <row r="3" spans="1:30" s="41" customFormat="1" ht="30.95" customHeight="1">
      <c r="A3" s="674" t="str">
        <f>+'0. Project Details'!A6</f>
        <v>Designer:</v>
      </c>
      <c r="B3" s="675"/>
      <c r="C3" s="42" t="str">
        <f>+'0. Project Details'!B6</f>
        <v>John Doe</v>
      </c>
      <c r="D3" s="104"/>
      <c r="E3" s="104"/>
      <c r="F3" s="104"/>
      <c r="G3" s="104"/>
      <c r="H3" s="105"/>
      <c r="I3" s="106"/>
      <c r="J3" s="107"/>
      <c r="K3" s="107"/>
      <c r="L3" s="107"/>
      <c r="M3" s="107"/>
      <c r="N3" s="107"/>
      <c r="O3" s="107"/>
      <c r="P3" s="108"/>
      <c r="S3" s="102"/>
      <c r="T3" s="102"/>
      <c r="U3" s="102"/>
      <c r="V3" s="102"/>
      <c r="W3" s="102"/>
      <c r="X3" s="102"/>
      <c r="Y3" s="103"/>
      <c r="Z3" s="103"/>
      <c r="AA3" s="103"/>
      <c r="AB3" s="103"/>
      <c r="AC3" s="103"/>
      <c r="AD3" s="103"/>
    </row>
    <row r="4" spans="1:30" s="41" customFormat="1" ht="30.75" customHeight="1">
      <c r="A4" s="674" t="str">
        <f>+'0. Project Details'!F6</f>
        <v>Date:</v>
      </c>
      <c r="B4" s="675"/>
      <c r="C4" s="676">
        <f>+'0. Project Details'!G6</f>
        <v>0</v>
      </c>
      <c r="D4" s="676"/>
      <c r="E4" s="109"/>
      <c r="F4" s="104"/>
      <c r="G4" s="104"/>
      <c r="H4" s="105"/>
      <c r="I4" s="106"/>
      <c r="J4" s="107"/>
      <c r="K4" s="107"/>
      <c r="L4" s="107"/>
      <c r="M4" s="107"/>
      <c r="N4" s="107"/>
      <c r="O4" s="107"/>
      <c r="P4" s="108"/>
      <c r="S4" s="102"/>
      <c r="T4" s="102"/>
      <c r="U4" s="102"/>
      <c r="V4" s="102"/>
      <c r="W4" s="102"/>
      <c r="X4" s="102"/>
      <c r="Y4" s="103"/>
      <c r="Z4" s="103"/>
      <c r="AA4" s="103"/>
      <c r="AB4" s="103"/>
      <c r="AC4" s="103"/>
      <c r="AD4" s="103"/>
    </row>
    <row r="5" spans="1:30" s="41" customFormat="1" ht="34.35" customHeight="1" thickBot="1">
      <c r="A5" s="51" t="s">
        <v>27</v>
      </c>
      <c r="B5" s="54"/>
      <c r="C5" s="110">
        <f>+'0. Project Details'!B8</f>
        <v>0</v>
      </c>
      <c r="D5" s="54"/>
      <c r="E5" s="54"/>
      <c r="F5" s="54"/>
      <c r="G5" s="54"/>
      <c r="H5" s="111"/>
      <c r="I5" s="112"/>
      <c r="J5" s="113"/>
      <c r="K5" s="113"/>
      <c r="L5" s="113"/>
      <c r="M5" s="113"/>
      <c r="N5" s="113"/>
      <c r="O5" s="113"/>
      <c r="P5" s="114"/>
      <c r="S5" s="102"/>
      <c r="T5" s="102"/>
      <c r="U5" s="102"/>
      <c r="V5" s="102"/>
      <c r="W5" s="102"/>
      <c r="X5" s="102"/>
      <c r="Y5" s="103"/>
      <c r="Z5" s="103"/>
      <c r="AA5" s="103"/>
      <c r="AB5" s="103"/>
      <c r="AC5" s="103"/>
      <c r="AD5" s="103"/>
    </row>
    <row r="6" spans="1:30" s="41" customFormat="1" ht="20.100000000000001" customHeight="1">
      <c r="A6" s="115"/>
      <c r="B6" s="116"/>
      <c r="C6" s="116"/>
      <c r="D6" s="116"/>
      <c r="E6" s="116"/>
      <c r="F6" s="116"/>
      <c r="G6" s="116"/>
      <c r="H6" s="116"/>
      <c r="I6" s="116"/>
      <c r="J6" s="116"/>
      <c r="K6" s="116"/>
      <c r="P6" s="117"/>
    </row>
    <row r="7" spans="1:30" s="41" customFormat="1" ht="27" customHeight="1">
      <c r="A7" s="532" t="s">
        <v>134</v>
      </c>
      <c r="B7" s="533"/>
      <c r="C7" s="533"/>
      <c r="D7" s="533"/>
      <c r="E7" s="533"/>
      <c r="F7" s="533"/>
      <c r="G7" s="533"/>
      <c r="H7" s="533"/>
      <c r="I7" s="533"/>
      <c r="J7" s="533"/>
      <c r="K7" s="533"/>
      <c r="L7" s="533"/>
      <c r="M7" s="533"/>
      <c r="N7" s="533"/>
      <c r="O7" s="533"/>
      <c r="P7" s="534"/>
    </row>
    <row r="8" spans="1:30" s="41" customFormat="1" ht="15" customHeight="1" thickBot="1">
      <c r="A8" s="9"/>
      <c r="B8" s="60"/>
      <c r="C8" s="60"/>
      <c r="D8" s="60"/>
      <c r="E8" s="60"/>
      <c r="F8" s="60"/>
      <c r="G8" s="60"/>
      <c r="H8" s="60"/>
      <c r="I8" s="60"/>
      <c r="J8" s="60"/>
      <c r="K8" s="60"/>
      <c r="P8" s="61"/>
    </row>
    <row r="9" spans="1:30" ht="14.25" customHeight="1">
      <c r="A9" s="629" t="s">
        <v>97</v>
      </c>
      <c r="B9" s="630"/>
      <c r="C9" s="630"/>
      <c r="D9" s="630"/>
      <c r="E9" s="630"/>
      <c r="F9" s="630"/>
      <c r="G9" s="630"/>
      <c r="H9" s="630"/>
      <c r="I9" s="630"/>
      <c r="J9" s="630"/>
      <c r="K9" s="630"/>
      <c r="L9" s="630"/>
      <c r="M9" s="630"/>
      <c r="N9" s="630"/>
      <c r="O9" s="630"/>
      <c r="P9" s="631"/>
    </row>
    <row r="10" spans="1:30" ht="14.25" customHeight="1">
      <c r="A10" s="632"/>
      <c r="B10" s="633"/>
      <c r="C10" s="633"/>
      <c r="D10" s="633"/>
      <c r="E10" s="633"/>
      <c r="F10" s="633"/>
      <c r="G10" s="633"/>
      <c r="H10" s="633"/>
      <c r="I10" s="633"/>
      <c r="J10" s="633"/>
      <c r="K10" s="633"/>
      <c r="L10" s="633"/>
      <c r="M10" s="633"/>
      <c r="N10" s="633"/>
      <c r="O10" s="633"/>
      <c r="P10" s="634"/>
    </row>
    <row r="11" spans="1:30" ht="28.35" customHeight="1">
      <c r="A11" s="680" t="s">
        <v>75</v>
      </c>
      <c r="B11" s="681"/>
      <c r="C11" s="118" t="s">
        <v>135</v>
      </c>
      <c r="D11" s="118" t="s">
        <v>136</v>
      </c>
      <c r="E11" s="118" t="s">
        <v>137</v>
      </c>
      <c r="F11" s="118" t="s">
        <v>138</v>
      </c>
      <c r="G11" s="119" t="s">
        <v>139</v>
      </c>
      <c r="H11" s="119" t="s">
        <v>140</v>
      </c>
      <c r="I11" s="120" t="s">
        <v>141</v>
      </c>
      <c r="J11" s="120" t="s">
        <v>142</v>
      </c>
      <c r="P11" s="68"/>
    </row>
    <row r="12" spans="1:30" ht="14.25" customHeight="1">
      <c r="A12" s="668" t="str">
        <f>IF('1. Block Properties'!A12="","",'1. Block Properties'!A12)</f>
        <v>4-inch open cell</v>
      </c>
      <c r="B12" s="669"/>
      <c r="C12" s="121">
        <f>IF(A12="","",E12/2)</f>
        <v>0.16666666666666666</v>
      </c>
      <c r="D12" s="121">
        <f>IF(A12="","",C18/2)</f>
        <v>0.5</v>
      </c>
      <c r="E12" s="121">
        <f>IF(A12="","",'1. Block Properties'!D12/12)</f>
        <v>0.33333333333333331</v>
      </c>
      <c r="F12" s="121">
        <f>IF(A12="","",D12)</f>
        <v>0.5</v>
      </c>
      <c r="G12" s="121">
        <f>IF(A12="","",0.5*D18)</f>
        <v>0.5</v>
      </c>
      <c r="H12" s="121">
        <f>IF(A12="","",G12)</f>
        <v>0.5</v>
      </c>
      <c r="I12" s="67">
        <f>IF(A12="","",0.5*SQRT(C18^2+D18^2))</f>
        <v>0.70710678118654757</v>
      </c>
      <c r="J12" s="67">
        <f>IF(A12="","",I12)</f>
        <v>0.70710678118654757</v>
      </c>
      <c r="P12" s="68"/>
    </row>
    <row r="13" spans="1:30" ht="14.25" customHeight="1">
      <c r="A13" s="668" t="str">
        <f>IF('1. Block Properties'!A13="","",'1. Block Properties'!A13)</f>
        <v>4.5-inch open cell</v>
      </c>
      <c r="B13" s="669"/>
      <c r="C13" s="121">
        <f>IF(A13="","",E13/2)</f>
        <v>0.20833333333333334</v>
      </c>
      <c r="D13" s="121">
        <f>IF(A13="","",C19/2)</f>
        <v>0.625</v>
      </c>
      <c r="E13" s="121">
        <f>IF(A13="","",'1. Block Properties'!D13/12)</f>
        <v>0.41666666666666669</v>
      </c>
      <c r="F13" s="121">
        <f>IF(A13="","",D13)</f>
        <v>0.625</v>
      </c>
      <c r="G13" s="121">
        <f>IF(A13="","",0.5*D19)</f>
        <v>0.625</v>
      </c>
      <c r="H13" s="121">
        <f>IF(A13="","",G13)</f>
        <v>0.625</v>
      </c>
      <c r="I13" s="67">
        <f>IF(A13="","",0.5*SQRT(C19^2+D19^2))</f>
        <v>0.88388347648318444</v>
      </c>
      <c r="J13" s="67">
        <f>IF(A13="","",I13)</f>
        <v>0.88388347648318444</v>
      </c>
      <c r="P13" s="68"/>
    </row>
    <row r="14" spans="1:30" ht="14.25" customHeight="1">
      <c r="A14" s="668" t="str">
        <f>IF('1. Block Properties'!A14="","",'1. Block Properties'!A14)</f>
        <v>6-inch open cell</v>
      </c>
      <c r="B14" s="669"/>
      <c r="C14" s="121">
        <f>IF(A14="","",E14/2)</f>
        <v>0.20833333333333334</v>
      </c>
      <c r="D14" s="121">
        <f>IF(A14="","",C20/2)</f>
        <v>0.75</v>
      </c>
      <c r="E14" s="121">
        <f>IF(A14="","",'1. Block Properties'!D14/12)</f>
        <v>0.41666666666666669</v>
      </c>
      <c r="F14" s="121">
        <f>IF(A14="","",D14)</f>
        <v>0.75</v>
      </c>
      <c r="G14" s="121">
        <f>IF(A14="","",0.5*D20)</f>
        <v>0.625</v>
      </c>
      <c r="H14" s="121">
        <f>IF(A14="","",G14)</f>
        <v>0.625</v>
      </c>
      <c r="I14" s="67">
        <f>IF(A14="","",0.5*SQRT(C20^2+D20^2))</f>
        <v>0.97628120948833175</v>
      </c>
      <c r="J14" s="67">
        <f>IF(A14="","",I14)</f>
        <v>0.97628120948833175</v>
      </c>
      <c r="P14" s="68"/>
    </row>
    <row r="15" spans="1:30" ht="14.25" customHeight="1">
      <c r="A15" s="668" t="str">
        <f>IF('1. Block Properties'!A15="","",'1. Block Properties'!A15)</f>
        <v>9-inch open cell</v>
      </c>
      <c r="B15" s="669"/>
      <c r="C15" s="121">
        <f>IF(A15="","",E15/2)</f>
        <v>0.375</v>
      </c>
      <c r="D15" s="121">
        <f>IF(A15="","",C21/2)</f>
        <v>0.71875</v>
      </c>
      <c r="E15" s="121">
        <f>IF(A15="","",'1. Block Properties'!D15/12)</f>
        <v>0.75</v>
      </c>
      <c r="F15" s="121">
        <f>IF(A15="","",D15)</f>
        <v>0.71875</v>
      </c>
      <c r="G15" s="121">
        <f>IF(A15="","",0.5*D21)</f>
        <v>0.64583333333333337</v>
      </c>
      <c r="H15" s="121">
        <f>IF(A15="","",G15)</f>
        <v>0.64583333333333337</v>
      </c>
      <c r="I15" s="67">
        <f>IF(A15="","",0.5*SQRT(C21^2+D21^2))</f>
        <v>0.96628270032348418</v>
      </c>
      <c r="J15" s="67">
        <f>IF(A15="","",I15)</f>
        <v>0.96628270032348418</v>
      </c>
      <c r="P15" s="68"/>
    </row>
    <row r="16" spans="1:30" ht="14.25" customHeight="1">
      <c r="A16" s="122"/>
      <c r="B16" s="71"/>
      <c r="C16" s="71"/>
      <c r="D16" s="71"/>
      <c r="E16" s="123"/>
      <c r="F16" s="123"/>
      <c r="G16" s="123"/>
      <c r="H16" s="71"/>
      <c r="I16" s="71"/>
      <c r="J16" s="71"/>
      <c r="K16" s="71"/>
      <c r="L16" s="71"/>
      <c r="M16" s="124"/>
      <c r="N16" s="70"/>
      <c r="O16" s="71"/>
      <c r="P16" s="125"/>
    </row>
    <row r="17" spans="1:16" ht="28.5" customHeight="1">
      <c r="A17" s="680" t="s">
        <v>75</v>
      </c>
      <c r="B17" s="681"/>
      <c r="C17" s="119" t="s">
        <v>143</v>
      </c>
      <c r="D17" s="119" t="s">
        <v>144</v>
      </c>
      <c r="E17" s="119" t="s">
        <v>145</v>
      </c>
      <c r="F17" s="119" t="s">
        <v>146</v>
      </c>
      <c r="G17" s="119" t="s">
        <v>147</v>
      </c>
      <c r="H17" s="682" t="s">
        <v>148</v>
      </c>
      <c r="I17" s="683"/>
      <c r="J17" s="71"/>
      <c r="K17" s="71"/>
      <c r="L17" s="71"/>
      <c r="M17" s="124"/>
      <c r="N17" s="70"/>
      <c r="O17" s="71"/>
      <c r="P17" s="125"/>
    </row>
    <row r="18" spans="1:16" ht="14.25" customHeight="1">
      <c r="A18" s="668" t="str">
        <f>IF('1. Block Properties'!A19="","",'1. Block Properties'!A19)</f>
        <v>4-inch open cell</v>
      </c>
      <c r="B18" s="669"/>
      <c r="C18" s="121">
        <f>IF(A12="","",'1. Block Properties'!B12/12)</f>
        <v>1</v>
      </c>
      <c r="D18" s="121">
        <f>IF(A12="","",'1. Block Properties'!C12/12)</f>
        <v>1</v>
      </c>
      <c r="E18" s="126">
        <f>IF(A12="","",'1. Block Properties'!C19)</f>
        <v>1.15E-2</v>
      </c>
      <c r="F18" s="127">
        <f>IF(A12="","",'1. Block Properties'!F12)</f>
        <v>40</v>
      </c>
      <c r="G18" s="67">
        <f>IF(A12="","",'1. Block Properties'!B19)</f>
        <v>1</v>
      </c>
      <c r="H18" s="684">
        <f>IF(A12="","",'1. Block Properties'!B29)</f>
        <v>11</v>
      </c>
      <c r="I18" s="685"/>
      <c r="J18" s="71"/>
      <c r="K18" s="71"/>
      <c r="L18" s="71"/>
      <c r="M18" s="124"/>
      <c r="N18" s="70"/>
      <c r="O18" s="71"/>
      <c r="P18" s="125"/>
    </row>
    <row r="19" spans="1:16" ht="14.25" customHeight="1">
      <c r="A19" s="668" t="str">
        <f>IF('1. Block Properties'!A20="","",'1. Block Properties'!A20)</f>
        <v>4.5-inch open cell</v>
      </c>
      <c r="B19" s="669"/>
      <c r="C19" s="121">
        <f>IF(A13="","",'1. Block Properties'!B13/12)</f>
        <v>1.25</v>
      </c>
      <c r="D19" s="121">
        <f>IF(A13="","",'1. Block Properties'!C13/12)</f>
        <v>1.25</v>
      </c>
      <c r="E19" s="126">
        <f>IF(A13="","",'1. Block Properties'!C20)</f>
        <v>1.15E-2</v>
      </c>
      <c r="F19" s="127">
        <f>IF(A13="","",'1. Block Properties'!F13)</f>
        <v>66</v>
      </c>
      <c r="G19" s="67">
        <f>IF(A13="","",'1. Block Properties'!B20)</f>
        <v>1.1100000000000001</v>
      </c>
      <c r="H19" s="684">
        <f>IF(A13="","",'1. Block Properties'!B30)</f>
        <v>25</v>
      </c>
      <c r="I19" s="685"/>
      <c r="J19" s="71"/>
      <c r="K19" s="71"/>
      <c r="L19" s="71"/>
      <c r="M19" s="124"/>
      <c r="N19" s="70"/>
      <c r="O19" s="71"/>
      <c r="P19" s="125"/>
    </row>
    <row r="20" spans="1:16" ht="14.25" customHeight="1">
      <c r="A20" s="668" t="str">
        <f>IF('1. Block Properties'!A21="","",'1. Block Properties'!A21)</f>
        <v>6-inch open cell</v>
      </c>
      <c r="B20" s="669"/>
      <c r="C20" s="121">
        <f>IF(A14="","",'1. Block Properties'!B14/12)</f>
        <v>1.5</v>
      </c>
      <c r="D20" s="121">
        <f>IF(A14="","",'1. Block Properties'!C14/12)</f>
        <v>1.25</v>
      </c>
      <c r="E20" s="126">
        <f>IF(A14="","",'1. Block Properties'!C21)</f>
        <v>1.35E-2</v>
      </c>
      <c r="F20" s="127">
        <f>IF(A14="","",'1. Block Properties'!F14)</f>
        <v>72.900000000000006</v>
      </c>
      <c r="G20" s="67">
        <f>IF(A14="","",'1. Block Properties'!B21)</f>
        <v>1.3</v>
      </c>
      <c r="H20" s="684">
        <f>IF(A14="","",'1. Block Properties'!B31)</f>
        <v>30</v>
      </c>
      <c r="I20" s="685"/>
      <c r="J20" s="71"/>
      <c r="K20" s="71"/>
      <c r="L20" s="71"/>
      <c r="M20" s="124"/>
      <c r="N20" s="70"/>
      <c r="O20" s="71"/>
      <c r="P20" s="125"/>
    </row>
    <row r="21" spans="1:16" ht="14.25" customHeight="1">
      <c r="A21" s="668" t="str">
        <f>IF('1. Block Properties'!A22="","",'1. Block Properties'!A22)</f>
        <v>9-inch open cell</v>
      </c>
      <c r="B21" s="669"/>
      <c r="C21" s="121">
        <f>IF(A15="","",'1. Block Properties'!B15/12)</f>
        <v>1.4375</v>
      </c>
      <c r="D21" s="121">
        <f>IF(A15="","",'1. Block Properties'!C15/12)</f>
        <v>1.2916666666666667</v>
      </c>
      <c r="E21" s="126">
        <f>IF(A15="","",'1. Block Properties'!C22)</f>
        <v>1.35E-2</v>
      </c>
      <c r="F21" s="127">
        <f>IF(A15="","",'1. Block Properties'!F15)</f>
        <v>163</v>
      </c>
      <c r="G21" s="67">
        <f>IF(A15="","",'1. Block Properties'!B22)</f>
        <v>1.3</v>
      </c>
      <c r="H21" s="684">
        <f>IF(A15="","",'1. Block Properties'!B32)</f>
        <v>27.9</v>
      </c>
      <c r="I21" s="685"/>
      <c r="J21" s="71"/>
      <c r="K21" s="71"/>
      <c r="L21" s="71"/>
      <c r="M21" s="124"/>
      <c r="N21" s="70"/>
      <c r="O21" s="71"/>
      <c r="P21" s="125"/>
    </row>
    <row r="22" spans="1:16" ht="14.25" customHeight="1">
      <c r="A22" s="128" t="s">
        <v>149</v>
      </c>
      <c r="B22" s="71"/>
      <c r="C22" s="71"/>
      <c r="D22" s="71"/>
      <c r="E22" s="71"/>
      <c r="F22" s="129"/>
      <c r="G22" s="129"/>
      <c r="H22" s="71"/>
      <c r="I22" s="71"/>
      <c r="J22" s="71"/>
      <c r="K22" s="71"/>
      <c r="L22" s="71"/>
      <c r="M22" s="124"/>
      <c r="N22" s="70"/>
      <c r="O22" s="71"/>
      <c r="P22" s="125"/>
    </row>
    <row r="23" spans="1:16" ht="15" thickBot="1">
      <c r="A23" s="9"/>
      <c r="B23" s="60"/>
      <c r="C23" s="60"/>
      <c r="D23" s="60"/>
      <c r="E23" s="60"/>
      <c r="F23" s="60"/>
      <c r="G23" s="60"/>
      <c r="H23" s="60"/>
      <c r="I23" s="60"/>
      <c r="J23" s="70"/>
      <c r="K23" s="71"/>
      <c r="P23" s="72"/>
    </row>
    <row r="24" spans="1:16" ht="14.25" customHeight="1">
      <c r="A24" s="629" t="s">
        <v>103</v>
      </c>
      <c r="B24" s="630"/>
      <c r="C24" s="630"/>
      <c r="D24" s="630"/>
      <c r="E24" s="630"/>
      <c r="F24" s="630"/>
      <c r="G24" s="630"/>
      <c r="H24" s="630"/>
      <c r="I24" s="630"/>
      <c r="J24" s="630"/>
      <c r="K24" s="630"/>
      <c r="L24" s="630"/>
      <c r="M24" s="630"/>
      <c r="N24" s="630"/>
      <c r="O24" s="630"/>
      <c r="P24" s="631"/>
    </row>
    <row r="25" spans="1:16" ht="14.25" customHeight="1">
      <c r="A25" s="637"/>
      <c r="B25" s="638"/>
      <c r="C25" s="638"/>
      <c r="D25" s="638"/>
      <c r="E25" s="638"/>
      <c r="F25" s="638"/>
      <c r="G25" s="638"/>
      <c r="H25" s="638"/>
      <c r="I25" s="638"/>
      <c r="J25" s="638"/>
      <c r="K25" s="638"/>
      <c r="L25" s="638"/>
      <c r="M25" s="638"/>
      <c r="N25" s="638"/>
      <c r="O25" s="638"/>
      <c r="P25" s="639"/>
    </row>
    <row r="26" spans="1:16" ht="14.25" customHeight="1">
      <c r="A26" s="616"/>
      <c r="B26" s="608"/>
      <c r="C26" s="608"/>
      <c r="D26" s="608"/>
      <c r="E26" s="608"/>
      <c r="F26" s="641" t="s">
        <v>150</v>
      </c>
      <c r="G26" s="641"/>
      <c r="H26" s="608" t="s">
        <v>34</v>
      </c>
      <c r="I26" s="608"/>
      <c r="J26" s="608" t="s">
        <v>35</v>
      </c>
      <c r="K26" s="608"/>
      <c r="P26" s="61"/>
    </row>
    <row r="27" spans="1:16">
      <c r="A27" s="609" t="s">
        <v>105</v>
      </c>
      <c r="B27" s="610"/>
      <c r="C27" s="610"/>
      <c r="D27" s="610"/>
      <c r="E27" s="610"/>
      <c r="F27" s="641">
        <f>IF('2. Hydraulic Stability'!F26="","",'2. Hydraulic Stability'!F26)</f>
        <v>1</v>
      </c>
      <c r="G27" s="641"/>
      <c r="H27" s="618">
        <f>+ATAN(F27/100)*180/PI()</f>
        <v>0.57293869768348593</v>
      </c>
      <c r="I27" s="618"/>
      <c r="J27" s="621">
        <f>+H27*PI()/180</f>
        <v>9.9996666866652376E-3</v>
      </c>
      <c r="K27" s="621"/>
      <c r="P27" s="61"/>
    </row>
    <row r="28" spans="1:16">
      <c r="A28" s="609" t="s">
        <v>106</v>
      </c>
      <c r="B28" s="610"/>
      <c r="C28" s="610"/>
      <c r="D28" s="610"/>
      <c r="E28" s="610"/>
      <c r="F28" s="686">
        <f>+'2. Hydraulic Stability'!F27:G27</f>
        <v>50</v>
      </c>
      <c r="G28" s="687"/>
      <c r="H28" s="618">
        <f>+ATAN(F28/100)*180/PI()</f>
        <v>26.56505117707799</v>
      </c>
      <c r="I28" s="618"/>
      <c r="J28" s="621">
        <f>+H28*PI()/180</f>
        <v>0.46364760900080615</v>
      </c>
      <c r="K28" s="621"/>
      <c r="P28" s="61"/>
    </row>
    <row r="29" spans="1:16">
      <c r="A29" s="609" t="s">
        <v>151</v>
      </c>
      <c r="B29" s="610"/>
      <c r="C29" s="610"/>
      <c r="D29" s="610"/>
      <c r="E29" s="610"/>
      <c r="F29" s="686">
        <f>+TAN(H29*PI()/180)*100</f>
        <v>49.997500187484377</v>
      </c>
      <c r="G29" s="687"/>
      <c r="H29" s="618">
        <f>+J29*180/PI()</f>
        <v>26.56390533596684</v>
      </c>
      <c r="I29" s="618"/>
      <c r="J29" s="621">
        <f>+ATAN(TAN(J28)*COS(J27))</f>
        <v>0.46362761030071181</v>
      </c>
      <c r="K29" s="621"/>
      <c r="P29" s="61"/>
    </row>
    <row r="30" spans="1:16" ht="14.25" customHeight="1">
      <c r="A30" s="609" t="s">
        <v>107</v>
      </c>
      <c r="B30" s="610"/>
      <c r="C30" s="610"/>
      <c r="D30" s="610"/>
      <c r="E30" s="610"/>
      <c r="F30" s="686">
        <f>+'2. Hydraulic Stability'!F28:G28</f>
        <v>8</v>
      </c>
      <c r="G30" s="687"/>
      <c r="H30" s="608"/>
      <c r="I30" s="608"/>
      <c r="J30" s="608"/>
      <c r="K30" s="608"/>
      <c r="P30" s="61"/>
    </row>
    <row r="31" spans="1:16" ht="14.25" customHeight="1">
      <c r="A31" s="609" t="s">
        <v>108</v>
      </c>
      <c r="B31" s="610"/>
      <c r="C31" s="610"/>
      <c r="D31" s="610"/>
      <c r="E31" s="610"/>
      <c r="F31" s="686">
        <f>+'2. Hydraulic Stability'!F29:G29</f>
        <v>2.87810650887574</v>
      </c>
      <c r="G31" s="687"/>
      <c r="H31" s="608"/>
      <c r="I31" s="608"/>
      <c r="J31" s="608"/>
      <c r="K31" s="608"/>
      <c r="P31" s="61"/>
    </row>
    <row r="32" spans="1:16">
      <c r="A32" s="609" t="s">
        <v>109</v>
      </c>
      <c r="B32" s="610"/>
      <c r="C32" s="610"/>
      <c r="D32" s="610"/>
      <c r="E32" s="610"/>
      <c r="F32" s="686">
        <f>+'2. Hydraulic Stability'!F30:G30</f>
        <v>0.48</v>
      </c>
      <c r="G32" s="687"/>
      <c r="H32" s="608"/>
      <c r="I32" s="608"/>
      <c r="J32" s="608"/>
      <c r="K32" s="608"/>
      <c r="P32" s="61"/>
    </row>
    <row r="33" spans="1:22">
      <c r="A33" s="596"/>
      <c r="B33" s="597"/>
      <c r="C33" s="597"/>
      <c r="D33" s="597"/>
      <c r="E33" s="597"/>
      <c r="F33" s="597"/>
      <c r="G33" s="597"/>
      <c r="H33" s="597"/>
      <c r="I33" s="597"/>
      <c r="J33" s="597"/>
      <c r="K33" s="597"/>
      <c r="L33" s="597"/>
      <c r="M33" s="597"/>
      <c r="N33" s="597"/>
      <c r="O33" s="597"/>
      <c r="P33" s="598"/>
    </row>
    <row r="34" spans="1:22" ht="15.6" customHeight="1">
      <c r="A34" s="606" t="s">
        <v>111</v>
      </c>
      <c r="B34" s="607"/>
      <c r="C34" s="607"/>
      <c r="D34" s="607"/>
      <c r="E34" s="607"/>
      <c r="F34" s="640">
        <f>IF('0. Project Details'!E23="","",'0. Project Details'!E23)</f>
        <v>62.4</v>
      </c>
      <c r="G34" s="665"/>
      <c r="H34" s="659" t="s">
        <v>112</v>
      </c>
      <c r="I34" s="688" t="s">
        <v>113</v>
      </c>
      <c r="J34" s="688"/>
      <c r="K34" s="688"/>
      <c r="L34" s="688"/>
      <c r="M34" s="688"/>
      <c r="N34" s="688"/>
      <c r="O34" s="688"/>
      <c r="P34" s="689"/>
    </row>
    <row r="35" spans="1:22" ht="16.5">
      <c r="A35" s="606" t="s">
        <v>114</v>
      </c>
      <c r="B35" s="607"/>
      <c r="C35" s="607"/>
      <c r="D35" s="607"/>
      <c r="E35" s="607"/>
      <c r="F35" s="640">
        <f>IF('0. Project Details'!E24="","",'0. Project Details'!E24)</f>
        <v>131</v>
      </c>
      <c r="G35" s="665"/>
      <c r="H35" s="660"/>
      <c r="I35" s="663"/>
      <c r="J35" s="663"/>
      <c r="K35" s="663"/>
      <c r="L35" s="663"/>
      <c r="M35" s="663"/>
      <c r="N35" s="663"/>
      <c r="O35" s="663"/>
      <c r="P35" s="664"/>
    </row>
    <row r="36" spans="1:22" ht="16.5">
      <c r="A36" s="606" t="s">
        <v>115</v>
      </c>
      <c r="B36" s="607"/>
      <c r="C36" s="607"/>
      <c r="D36" s="607"/>
      <c r="E36" s="607"/>
      <c r="F36" s="641">
        <f>+F34/32.165</f>
        <v>1.9399968910306233</v>
      </c>
      <c r="G36" s="641"/>
      <c r="H36" s="130"/>
      <c r="I36" s="60"/>
      <c r="J36" s="60"/>
      <c r="K36" s="60"/>
      <c r="P36" s="61"/>
    </row>
    <row r="37" spans="1:22">
      <c r="A37" s="9"/>
      <c r="B37" s="60"/>
      <c r="C37" s="60"/>
      <c r="D37" s="60"/>
      <c r="E37" s="60"/>
      <c r="F37" s="60"/>
      <c r="G37" s="60"/>
      <c r="H37" s="60"/>
      <c r="I37" s="60"/>
      <c r="J37" s="60"/>
      <c r="K37" s="60"/>
      <c r="P37" s="61"/>
    </row>
    <row r="38" spans="1:22" ht="27.75" customHeight="1">
      <c r="A38" s="648" t="s">
        <v>110</v>
      </c>
      <c r="B38" s="649"/>
      <c r="C38" s="649"/>
      <c r="D38" s="649"/>
      <c r="E38" s="649"/>
      <c r="F38" s="650" t="str">
        <f>+'0. Project Details'!E21</f>
        <v>a) Perpendicular to block width (b)</v>
      </c>
      <c r="G38" s="650"/>
      <c r="H38" s="74"/>
      <c r="I38" s="75"/>
      <c r="J38" s="75"/>
      <c r="K38" s="75"/>
      <c r="L38" s="75"/>
      <c r="M38" s="75"/>
      <c r="N38" s="75"/>
      <c r="O38" s="75"/>
      <c r="P38" s="131"/>
    </row>
    <row r="39" spans="1:22" hidden="1">
      <c r="A39" s="9"/>
      <c r="B39" s="60"/>
      <c r="C39" s="60"/>
      <c r="D39" s="60"/>
      <c r="E39" s="60"/>
      <c r="F39" s="60"/>
      <c r="G39" s="60"/>
      <c r="H39" s="60"/>
      <c r="I39" s="60"/>
      <c r="J39" s="60"/>
      <c r="K39" s="60"/>
      <c r="P39" s="61"/>
    </row>
    <row r="40" spans="1:22" ht="15" thickBot="1">
      <c r="A40" s="9"/>
      <c r="B40" s="60"/>
      <c r="C40" s="60"/>
      <c r="D40" s="60"/>
      <c r="E40" s="60"/>
      <c r="F40" s="60"/>
      <c r="G40" s="60"/>
      <c r="H40" s="60"/>
      <c r="I40" s="60"/>
      <c r="J40" s="60"/>
      <c r="K40" s="60"/>
      <c r="P40" s="61"/>
    </row>
    <row r="41" spans="1:22" ht="14.25" customHeight="1">
      <c r="A41" s="651" t="s">
        <v>116</v>
      </c>
      <c r="B41" s="690"/>
      <c r="C41" s="690"/>
      <c r="D41" s="690"/>
      <c r="E41" s="690"/>
      <c r="F41" s="690"/>
      <c r="G41" s="690"/>
      <c r="H41" s="690"/>
      <c r="I41" s="690"/>
      <c r="J41" s="690"/>
      <c r="K41" s="690"/>
      <c r="L41" s="690"/>
      <c r="M41" s="690"/>
      <c r="N41" s="690"/>
      <c r="O41" s="690"/>
      <c r="P41" s="691"/>
    </row>
    <row r="42" spans="1:22">
      <c r="A42" s="692"/>
      <c r="B42" s="693"/>
      <c r="C42" s="693"/>
      <c r="D42" s="693"/>
      <c r="E42" s="693"/>
      <c r="F42" s="693"/>
      <c r="G42" s="693"/>
      <c r="H42" s="693"/>
      <c r="I42" s="693"/>
      <c r="J42" s="693"/>
      <c r="K42" s="693"/>
      <c r="L42" s="693"/>
      <c r="M42" s="693"/>
      <c r="N42" s="693"/>
      <c r="O42" s="693"/>
      <c r="P42" s="694"/>
    </row>
    <row r="43" spans="1:22" ht="45.6">
      <c r="A43" s="647" t="s">
        <v>75</v>
      </c>
      <c r="B43" s="618"/>
      <c r="C43" s="63" t="s">
        <v>152</v>
      </c>
      <c r="D43" s="63" t="s">
        <v>153</v>
      </c>
      <c r="E43" s="63" t="s">
        <v>154</v>
      </c>
      <c r="F43" s="63" t="s">
        <v>122</v>
      </c>
      <c r="G43" s="63" t="s">
        <v>155</v>
      </c>
      <c r="H43" s="63" t="s">
        <v>156</v>
      </c>
      <c r="I43" s="63" t="s">
        <v>157</v>
      </c>
      <c r="J43" s="63" t="s">
        <v>158</v>
      </c>
      <c r="K43" s="63" t="s">
        <v>159</v>
      </c>
      <c r="L43" s="63" t="s">
        <v>160</v>
      </c>
      <c r="M43" s="132" t="s">
        <v>161</v>
      </c>
      <c r="N43" s="132" t="s">
        <v>162</v>
      </c>
      <c r="O43" s="132" t="s">
        <v>163</v>
      </c>
      <c r="P43" s="133" t="s">
        <v>164</v>
      </c>
      <c r="S43" s="41"/>
      <c r="T43" s="41"/>
      <c r="U43" s="41"/>
      <c r="V43" s="41"/>
    </row>
    <row r="44" spans="1:22">
      <c r="A44" s="642" t="str">
        <f>+IF(A12="","",A12)</f>
        <v>4-inch open cell</v>
      </c>
      <c r="B44" s="643"/>
      <c r="C44" s="80">
        <f>+ATAN(TAN($J$28)*COS($J$27))</f>
        <v>0.46362761030071181</v>
      </c>
      <c r="D44" s="81">
        <f>+$F$31*G18</f>
        <v>2.87810650887574</v>
      </c>
      <c r="E44" s="81">
        <f>0.5*E18*$F$36*G18*$F$30^2</f>
        <v>0.7139188558992694</v>
      </c>
      <c r="F44" s="80">
        <f>+ATAN(C18/D18)</f>
        <v>0.78539816339744828</v>
      </c>
      <c r="G44" s="80">
        <f>+IF($F$38="a) Perpendicular to block width (b)",D18,I12*2)</f>
        <v>1</v>
      </c>
      <c r="H44" s="81">
        <f>0.5*$F$32/12*G44*$F$36*$F$30^2</f>
        <v>2.4831960205191979</v>
      </c>
      <c r="I44" s="82">
        <f>+'1. Block Properties'!F12*((($F$35/62.4)-1)/($F$35/62.4))</f>
        <v>20.946564885496187</v>
      </c>
      <c r="J44" s="82">
        <f>+I44*SIN($J$27)</f>
        <v>0.20945517635794986</v>
      </c>
      <c r="K44" s="82">
        <f>+I44*COS($J$27)*COS(C44)</f>
        <v>18.734427829505591</v>
      </c>
      <c r="L44" s="82">
        <f>+I44*COS($J$27)*SIN(C44)</f>
        <v>9.3667455891811837</v>
      </c>
      <c r="M44" s="82">
        <f>+(I12*K44)/(C12*(J44*SIN(F44)+L44*COS(F44))+E12*(D44+H44)*SIN(F44)+J12*(E44+H44))</f>
        <v>2.8470696649451304</v>
      </c>
      <c r="N44" s="82">
        <f>+(D12*K44)/(C12*J44+E12*(D44+H44)+F12*(E44+H44))</f>
        <v>2.7384970408101452</v>
      </c>
      <c r="O44" s="82">
        <f>+(G12*K44)/(C12*L44+H12*(E44+H44))</f>
        <v>2.9646068164534602</v>
      </c>
      <c r="P44" s="134">
        <f>+MIN(M44:O44)</f>
        <v>2.7384970408101452</v>
      </c>
      <c r="R44" s="135"/>
      <c r="S44" s="136"/>
      <c r="T44" s="136"/>
      <c r="U44" s="136"/>
      <c r="V44" s="136"/>
    </row>
    <row r="45" spans="1:22">
      <c r="A45" s="642" t="str">
        <f>+IF(A13="","",A13)</f>
        <v>4.5-inch open cell</v>
      </c>
      <c r="B45" s="643"/>
      <c r="C45" s="80">
        <f>+ATAN(TAN($J$28)*COS($J$27))</f>
        <v>0.46362761030071181</v>
      </c>
      <c r="D45" s="81">
        <f>+$F$31*G19</f>
        <v>3.1946982248520719</v>
      </c>
      <c r="E45" s="81">
        <f>0.5*E19*$F$36*G19*$F$30^2</f>
        <v>0.79244993004818909</v>
      </c>
      <c r="F45" s="80">
        <f>+ATAN(C19/D19)</f>
        <v>0.78539816339744828</v>
      </c>
      <c r="G45" s="80">
        <f t="shared" ref="G45:G47" si="0">+IF($F$38="a) Perpendicular to block width (b)",D19,I13*2)</f>
        <v>1.25</v>
      </c>
      <c r="H45" s="81">
        <f>0.5*$F$32/12*G45*$F$36*$F$30^2</f>
        <v>3.1039950256489974</v>
      </c>
      <c r="I45" s="82">
        <f>+'1. Block Properties'!F13*((($F$35/62.4)-1)/($F$35/62.4))</f>
        <v>34.561832061068706</v>
      </c>
      <c r="J45" s="82">
        <f>+I45*SIN($J$27)</f>
        <v>0.34560104099061723</v>
      </c>
      <c r="K45" s="82">
        <f>+I45*COS($J$27)*COS(C45)</f>
        <v>30.911805918684227</v>
      </c>
      <c r="L45" s="82">
        <f>+I45*COS($J$27)*SIN(C45)</f>
        <v>15.455130222148952</v>
      </c>
      <c r="M45" s="82">
        <f>+(I13*K45)/(C13*(J45*SIN(F45)+L45*COS(F45))+E13*(D45+H45)*SIN(F45)+J13*(E45+H45))</f>
        <v>3.5821232732545649</v>
      </c>
      <c r="N45" s="82">
        <f>+(D13*K45)/(C13*J45+E13*(D45+H45)+F13*(E45+H45))</f>
        <v>3.7647858052496166</v>
      </c>
      <c r="O45" s="82">
        <f>+(G13*K45)/(C13*L45+H13*(E45+H45))</f>
        <v>3.4163656366472672</v>
      </c>
      <c r="P45" s="134">
        <f>+MIN(M45:O45)</f>
        <v>3.4163656366472672</v>
      </c>
      <c r="R45" s="135"/>
      <c r="S45" s="136"/>
      <c r="T45" s="136"/>
      <c r="U45" s="136"/>
      <c r="V45" s="136"/>
    </row>
    <row r="46" spans="1:22">
      <c r="A46" s="642" t="str">
        <f>+IF(A14="","",A14)</f>
        <v>6-inch open cell</v>
      </c>
      <c r="B46" s="643"/>
      <c r="C46" s="80">
        <f>+ATAN(TAN($J$28)*COS($J$27))</f>
        <v>0.46362761030071181</v>
      </c>
      <c r="D46" s="81">
        <f>+$F$31*G20</f>
        <v>3.7415384615384624</v>
      </c>
      <c r="E46" s="81">
        <f>0.5*E20*$F$36*G20*$F$30^2</f>
        <v>1.0895022540027981</v>
      </c>
      <c r="F46" s="80">
        <f>+ATAN(C20/D20)</f>
        <v>0.87605805059819342</v>
      </c>
      <c r="G46" s="80">
        <f t="shared" si="0"/>
        <v>1.25</v>
      </c>
      <c r="H46" s="81">
        <f>0.5*$F$32/12*G46*$F$36*$F$30^2</f>
        <v>3.1039950256489974</v>
      </c>
      <c r="I46" s="82">
        <f>+'1. Block Properties'!F14*((($F$35/62.4)-1)/($F$35/62.4))</f>
        <v>38.1751145038168</v>
      </c>
      <c r="J46" s="82">
        <f>+I46*SIN($J$27)</f>
        <v>0.38173205891236361</v>
      </c>
      <c r="K46" s="82">
        <f>+I46*COS($J$27)*COS(C46)</f>
        <v>34.143494719273946</v>
      </c>
      <c r="L46" s="82">
        <f>+I46*COS($J$27)*SIN(C46)</f>
        <v>17.070893836282707</v>
      </c>
      <c r="M46" s="82">
        <f>+(I14*K46)/(C14*(J46*SIN(F46)+L46*COS(F46))+E14*(D46+H46)*SIN(F46)+J14*(E46+H46))</f>
        <v>3.8656209671430846</v>
      </c>
      <c r="N46" s="82">
        <f>+(D14*K46)/(C14*J46+E14*(D46+H46)+F14*(E46+H46))</f>
        <v>4.2138894297001057</v>
      </c>
      <c r="O46" s="82">
        <f>+(G14*K46)/(C14*L46+H14*(E46+H46))</f>
        <v>3.4544923222040733</v>
      </c>
      <c r="P46" s="134">
        <f>+MIN(M46:O46)</f>
        <v>3.4544923222040733</v>
      </c>
      <c r="R46" s="135"/>
      <c r="S46" s="136"/>
      <c r="T46" s="136"/>
      <c r="U46" s="136"/>
      <c r="V46" s="136"/>
    </row>
    <row r="47" spans="1:22">
      <c r="A47" s="642" t="str">
        <f>+IF(A15="","",A15)</f>
        <v>9-inch open cell</v>
      </c>
      <c r="B47" s="643"/>
      <c r="C47" s="80">
        <f>IF(A47="","",ATAN(TAN($J$28)*COS($J$27)))</f>
        <v>0.46362761030071181</v>
      </c>
      <c r="D47" s="81">
        <f>IF(A47="","",$F$31*G21)</f>
        <v>3.7415384615384624</v>
      </c>
      <c r="E47" s="81">
        <f>IF(A47="","",0.5*E21*$F$36*G21*$F$30^2)</f>
        <v>1.0895022540027981</v>
      </c>
      <c r="F47" s="80">
        <f>IF(A47="","",ATAN(C21/D21))</f>
        <v>0.83878250688818357</v>
      </c>
      <c r="G47" s="80">
        <f t="shared" si="0"/>
        <v>1.2916666666666667</v>
      </c>
      <c r="H47" s="81">
        <f>IF(A47="","",0.5*$F$32/12*G47*$F$36*$F$30^2)</f>
        <v>3.2074615265039643</v>
      </c>
      <c r="I47" s="82">
        <f>IF(A47="","",'1. Block Properties'!F15*((($F$35/62.4)-1)/($F$35/62.4)))</f>
        <v>85.357251908396961</v>
      </c>
      <c r="J47" s="82">
        <f>IF(A47="","",I47*SIN($J$27))</f>
        <v>0.85352984365864559</v>
      </c>
      <c r="K47" s="82">
        <f>IF(A47="","",I47*COS($J$27)*COS(C47))</f>
        <v>76.342793405235298</v>
      </c>
      <c r="L47" s="82">
        <f>IF(A47="","",I47*COS($J$27)*SIN(C47))</f>
        <v>38.169488275913324</v>
      </c>
      <c r="M47" s="82">
        <f>IF(A47="","",(I15*K47)/(C15*(J47*SIN(F47)+L47*COS(F47))+E15*(D47+H47)*SIN(F47)+J15*(E47+H47)))</f>
        <v>4.1365122785511863</v>
      </c>
      <c r="N47" s="82">
        <f>IF(A47="","",(D15*K47)/(C15*J47+E15*(D47+H47)+F15*(E47+H47)))</f>
        <v>6.3653929259407818</v>
      </c>
      <c r="O47" s="82">
        <f>IF(A47="","",(G15*K47)/(C15*L47+H15*(E47+H47)))</f>
        <v>2.8852268968874872</v>
      </c>
      <c r="P47" s="134">
        <f>IF(A47="","",MIN(M47:O47))</f>
        <v>2.8852268968874872</v>
      </c>
      <c r="R47" s="135"/>
      <c r="S47" s="136"/>
      <c r="T47" s="136"/>
      <c r="U47" s="136"/>
      <c r="V47" s="136"/>
    </row>
    <row r="48" spans="1:22">
      <c r="A48" s="137"/>
      <c r="B48" s="138"/>
      <c r="C48" s="139"/>
      <c r="D48" s="140"/>
      <c r="E48" s="140"/>
      <c r="F48" s="139"/>
      <c r="G48" s="139"/>
      <c r="H48" s="140"/>
      <c r="I48" s="141"/>
      <c r="J48" s="141"/>
      <c r="K48" s="141"/>
      <c r="L48" s="141"/>
      <c r="M48" s="141"/>
      <c r="N48" s="141"/>
      <c r="O48" s="141"/>
      <c r="P48" s="142"/>
      <c r="R48" s="135"/>
      <c r="S48" s="136"/>
      <c r="T48" s="136"/>
      <c r="U48" s="136"/>
      <c r="V48" s="136"/>
    </row>
    <row r="49" spans="1:22" ht="28.35" customHeight="1">
      <c r="A49" s="647" t="s">
        <v>75</v>
      </c>
      <c r="B49" s="618"/>
      <c r="C49" s="64" t="s">
        <v>127</v>
      </c>
      <c r="D49" s="64" t="s">
        <v>128</v>
      </c>
      <c r="E49" s="89" t="s">
        <v>129</v>
      </c>
      <c r="F49" s="64" t="s">
        <v>130</v>
      </c>
      <c r="G49" s="7"/>
      <c r="H49" s="87"/>
      <c r="I49" s="88"/>
      <c r="J49" s="88"/>
      <c r="K49" s="88"/>
      <c r="L49" s="88"/>
      <c r="M49" s="88"/>
      <c r="N49" s="88"/>
      <c r="O49" s="88"/>
      <c r="P49" s="142"/>
      <c r="R49" s="87" t="s">
        <v>132</v>
      </c>
      <c r="S49" s="136"/>
      <c r="T49" s="136"/>
      <c r="U49" s="136"/>
      <c r="V49" s="136"/>
    </row>
    <row r="50" spans="1:22" ht="15.6">
      <c r="A50" s="642" t="str">
        <f>+IF(A12="","",A12)</f>
        <v>4-inch open cell</v>
      </c>
      <c r="B50" s="643"/>
      <c r="C50" s="82" t="str">
        <f>IF(A44="","",IF(P44&gt;='0. Project Details'!$B$9,"Ok","Not Ok"))</f>
        <v>Ok</v>
      </c>
      <c r="D50" s="82" t="str">
        <f>IF(A44="","",IF($F$30&lt;'1. Block Properties'!C29,"Ok","Not Ok"))</f>
        <v>Ok</v>
      </c>
      <c r="E50" s="91" t="str">
        <f>IF(A44="","",IF($H$27&lt;'1. Block Properties'!I29,"Ok","Not Ok"))</f>
        <v>Ok</v>
      </c>
      <c r="F50" s="82" t="str">
        <f>IF(A44="","",IF($F$31&lt;'1. Block Properties'!B29,"Ok","Not Ok"))</f>
        <v>Ok</v>
      </c>
      <c r="G50" s="7"/>
      <c r="H50" s="87"/>
      <c r="I50" s="88"/>
      <c r="J50" s="90" t="s">
        <v>131</v>
      </c>
      <c r="K50" s="143"/>
      <c r="L50" s="143"/>
      <c r="M50" s="143"/>
      <c r="N50" s="143"/>
      <c r="O50" s="143"/>
      <c r="P50" s="144"/>
      <c r="R50" s="88">
        <f>+IF(D50="","",IF(F50="Ok",P44,""))</f>
        <v>2.7384970408101452</v>
      </c>
      <c r="S50" s="136"/>
      <c r="T50" s="136"/>
      <c r="U50" s="136"/>
      <c r="V50" s="136"/>
    </row>
    <row r="51" spans="1:22">
      <c r="A51" s="642" t="str">
        <f t="shared" ref="A51:A53" si="1">+IF(A13="","",A13)</f>
        <v>4.5-inch open cell</v>
      </c>
      <c r="B51" s="643"/>
      <c r="C51" s="82" t="str">
        <f>IF(A45="","",IF(P45&gt;='0. Project Details'!$B$9,"Ok","Not Ok"))</f>
        <v>Ok</v>
      </c>
      <c r="D51" s="82" t="str">
        <f>IF(A45="","",IF($F$30&lt;'1. Block Properties'!C30,"Ok","Not Ok"))</f>
        <v>Ok</v>
      </c>
      <c r="E51" s="91" t="str">
        <f>IF(A45="","",IF($H$27&lt;'1. Block Properties'!I30,"Ok","Not Ok"))</f>
        <v>Ok</v>
      </c>
      <c r="F51" s="82" t="str">
        <f>IF(A45="","",IF($F$31&lt;'1. Block Properties'!B30,"Ok","Not Ok"))</f>
        <v>Ok</v>
      </c>
      <c r="G51" s="13"/>
      <c r="H51" s="13"/>
      <c r="I51" s="13"/>
      <c r="J51" s="93"/>
      <c r="K51" s="60"/>
      <c r="L51" s="60"/>
      <c r="M51" s="60"/>
      <c r="N51" s="60"/>
      <c r="O51" s="60"/>
      <c r="P51" s="61"/>
      <c r="R51" s="88">
        <f t="shared" ref="R51:R53" si="2">+IF(D51="","",IF(F51="Ok",P45,""))</f>
        <v>3.4163656366472672</v>
      </c>
    </row>
    <row r="52" spans="1:22">
      <c r="A52" s="642" t="str">
        <f t="shared" si="1"/>
        <v>6-inch open cell</v>
      </c>
      <c r="B52" s="643"/>
      <c r="C52" s="82" t="str">
        <f>IF(A46="","",IF(P46&gt;='0. Project Details'!$B$9,"Ok","Not Ok"))</f>
        <v>Ok</v>
      </c>
      <c r="D52" s="82" t="str">
        <f>IF(A46="","",IF($F$30&lt;'1. Block Properties'!C31,"Ok","Not Ok"))</f>
        <v>Ok</v>
      </c>
      <c r="E52" s="91" t="str">
        <f>IF(A46="","",IF($H$27&lt;'1. Block Properties'!I31,"Ok","Not Ok"))</f>
        <v>Ok</v>
      </c>
      <c r="F52" s="82" t="str">
        <f>IF(A46="","",IF($F$31&lt;'1. Block Properties'!B31,"Ok","Not Ok"))</f>
        <v>Ok</v>
      </c>
      <c r="G52" s="145"/>
      <c r="H52" s="145"/>
      <c r="I52" s="145"/>
      <c r="J52" s="93" t="s">
        <v>133</v>
      </c>
      <c r="K52" s="60"/>
      <c r="L52" s="94" t="str">
        <f>+IF(R54=R50,A50,IF(R54=R51,A51,IF(R54=R52,A52,A53)))</f>
        <v>4-inch open cell</v>
      </c>
      <c r="M52" s="95"/>
      <c r="N52" s="95"/>
      <c r="O52" s="60"/>
      <c r="P52" s="61"/>
      <c r="R52" s="88">
        <f t="shared" si="2"/>
        <v>3.4544923222040733</v>
      </c>
    </row>
    <row r="53" spans="1:22">
      <c r="A53" s="642" t="str">
        <f t="shared" si="1"/>
        <v>9-inch open cell</v>
      </c>
      <c r="B53" s="643"/>
      <c r="C53" s="82" t="str">
        <f>IF(A47="","",IF(P47&gt;='0. Project Details'!$B$9,"Ok","Not Ok"))</f>
        <v>Ok</v>
      </c>
      <c r="D53" s="82" t="str">
        <f>IF(A47="","",IF($F$30&lt;'1. Block Properties'!C32,"Ok","Not Ok"))</f>
        <v>Ok</v>
      </c>
      <c r="E53" s="91" t="str">
        <f>IF(A47="","",IF($H$27&lt;'1. Block Properties'!I32,"Ok","Not Ok"))</f>
        <v>Ok</v>
      </c>
      <c r="F53" s="82" t="str">
        <f>IF(A47="","",IF($F$31&lt;'1. Block Properties'!B32,"Ok","Not Ok"))</f>
        <v>Ok</v>
      </c>
      <c r="G53" s="60"/>
      <c r="H53" s="60"/>
      <c r="I53" s="60"/>
      <c r="P53" s="61"/>
      <c r="R53" s="88">
        <f t="shared" si="2"/>
        <v>2.8852268968874872</v>
      </c>
    </row>
    <row r="54" spans="1:22">
      <c r="A54" s="146"/>
      <c r="E54" s="60"/>
      <c r="F54" s="60"/>
      <c r="G54" s="93"/>
      <c r="H54" s="60"/>
      <c r="I54" s="60"/>
      <c r="P54" s="61"/>
      <c r="R54" s="88">
        <f>+MIN(R50:R53)</f>
        <v>2.7384970408101452</v>
      </c>
    </row>
    <row r="55" spans="1:22" ht="15" thickBot="1">
      <c r="A55" s="147"/>
      <c r="B55" s="98"/>
      <c r="C55" s="98"/>
      <c r="D55" s="98"/>
      <c r="E55" s="98"/>
      <c r="F55" s="98"/>
      <c r="G55" s="98"/>
      <c r="H55" s="98"/>
      <c r="I55" s="98"/>
      <c r="J55" s="98"/>
      <c r="K55" s="98"/>
      <c r="L55" s="98"/>
      <c r="M55" s="98"/>
      <c r="N55" s="98"/>
      <c r="O55" s="98"/>
      <c r="P55" s="99"/>
    </row>
    <row r="56" spans="1:22">
      <c r="A56" s="10"/>
      <c r="B56" s="60"/>
      <c r="C56" s="60"/>
      <c r="D56" s="60"/>
      <c r="E56" s="60"/>
      <c r="F56" s="60"/>
      <c r="G56" s="60"/>
      <c r="H56" s="60"/>
      <c r="I56" s="60"/>
      <c r="J56" s="60"/>
      <c r="K56" s="60"/>
      <c r="L56" s="60"/>
      <c r="M56" s="60"/>
      <c r="N56" s="60"/>
      <c r="O56" s="60"/>
    </row>
    <row r="57" spans="1:22">
      <c r="A57" s="10"/>
      <c r="B57" s="60"/>
      <c r="C57" s="60"/>
      <c r="D57" s="60"/>
      <c r="E57" s="60"/>
      <c r="F57" s="60"/>
      <c r="G57" s="60"/>
      <c r="H57" s="60"/>
      <c r="I57" s="60"/>
      <c r="J57" s="60"/>
      <c r="K57" s="60"/>
      <c r="L57" s="60"/>
    </row>
    <row r="58" spans="1:22">
      <c r="A58" s="10"/>
      <c r="B58" s="60"/>
      <c r="C58" s="60"/>
      <c r="D58" s="60"/>
      <c r="E58" s="60"/>
      <c r="F58" s="60"/>
      <c r="G58" s="60"/>
      <c r="H58" s="60"/>
      <c r="I58" s="60"/>
      <c r="J58" s="60"/>
      <c r="K58" s="60"/>
      <c r="L58" s="60"/>
    </row>
    <row r="59" spans="1:22">
      <c r="A59" s="10"/>
      <c r="B59" s="60"/>
      <c r="C59" s="60"/>
      <c r="D59" s="60"/>
      <c r="E59" s="60"/>
      <c r="F59" s="60"/>
      <c r="G59" s="60"/>
      <c r="H59" s="60"/>
      <c r="I59" s="60"/>
      <c r="J59" s="60"/>
      <c r="K59" s="60"/>
      <c r="L59" s="60"/>
    </row>
    <row r="60" spans="1:22">
      <c r="A60" s="10"/>
      <c r="B60" s="60"/>
      <c r="C60" s="60"/>
      <c r="D60" s="60"/>
      <c r="E60" s="60"/>
      <c r="F60" s="60"/>
      <c r="G60" s="60"/>
      <c r="H60" s="60"/>
      <c r="I60" s="60"/>
      <c r="J60" s="60"/>
      <c r="K60" s="60"/>
      <c r="L60" s="60"/>
    </row>
    <row r="61" spans="1:22">
      <c r="A61" s="10"/>
      <c r="B61" s="60"/>
      <c r="C61" s="60"/>
      <c r="D61" s="60"/>
      <c r="E61" s="60"/>
      <c r="F61" s="60"/>
      <c r="G61" s="60"/>
      <c r="H61" s="60"/>
      <c r="I61" s="60"/>
      <c r="J61" s="60"/>
      <c r="K61" s="60"/>
      <c r="L61" s="60"/>
    </row>
    <row r="62" spans="1:22">
      <c r="A62" s="10"/>
      <c r="B62" s="60"/>
      <c r="C62" s="60"/>
      <c r="D62" s="60"/>
      <c r="E62" s="60"/>
      <c r="F62" s="60"/>
      <c r="G62" s="60"/>
      <c r="H62" s="60"/>
      <c r="I62" s="60"/>
      <c r="J62" s="60"/>
      <c r="K62" s="60"/>
      <c r="L62" s="60"/>
    </row>
    <row r="63" spans="1:22">
      <c r="A63" s="10"/>
      <c r="B63" s="60"/>
      <c r="C63" s="60"/>
      <c r="D63" s="60"/>
      <c r="E63" s="60"/>
      <c r="F63" s="60"/>
      <c r="G63" s="60"/>
      <c r="H63" s="60"/>
      <c r="I63" s="60"/>
      <c r="J63" s="60"/>
      <c r="K63" s="60"/>
      <c r="L63" s="60"/>
    </row>
    <row r="64" spans="1:22">
      <c r="A64" s="10"/>
      <c r="B64" s="60"/>
      <c r="C64" s="60"/>
      <c r="D64" s="60"/>
      <c r="E64" s="60"/>
      <c r="F64" s="60"/>
      <c r="G64" s="60"/>
      <c r="H64" s="60"/>
      <c r="I64" s="60"/>
      <c r="J64" s="60"/>
      <c r="K64" s="60"/>
      <c r="L64" s="60"/>
    </row>
    <row r="65" spans="1:12">
      <c r="A65" s="10"/>
      <c r="B65" s="60"/>
      <c r="C65" s="60"/>
      <c r="D65" s="60"/>
      <c r="E65" s="60"/>
      <c r="F65" s="60"/>
      <c r="G65" s="60"/>
      <c r="H65" s="60"/>
      <c r="I65" s="60"/>
      <c r="J65" s="60"/>
      <c r="K65" s="60"/>
      <c r="L65" s="60"/>
    </row>
    <row r="66" spans="1:12">
      <c r="A66" s="86"/>
      <c r="B66" s="16"/>
      <c r="C66" s="16"/>
      <c r="D66" s="16"/>
      <c r="E66" s="16"/>
      <c r="F66" s="16"/>
      <c r="G66" s="16"/>
      <c r="H66" s="16"/>
      <c r="I66" s="16"/>
      <c r="J66" s="16"/>
      <c r="K66" s="16"/>
      <c r="L66" s="16"/>
    </row>
    <row r="67" spans="1:12">
      <c r="A67" s="86"/>
      <c r="B67" s="16"/>
      <c r="C67" s="16"/>
      <c r="D67" s="16"/>
      <c r="E67" s="16"/>
      <c r="F67" s="16"/>
      <c r="G67" s="16"/>
      <c r="H67" s="16"/>
      <c r="I67" s="16"/>
      <c r="J67" s="16"/>
      <c r="K67" s="16"/>
      <c r="L67" s="16"/>
    </row>
  </sheetData>
  <sheetProtection algorithmName="SHA-512" hashValue="G8vD/5FwTwuuGcSAEhY0eE/ynk3Lb5fm6ILhkFYhpifBKAoBGz6bzm0XJv34/mKyVPWBhxXWsuUhU8owl2GzXg==" saltValue="tzNpDRqPYSxG5EkkJobzxA==" spinCount="100000" sheet="1" objects="1" scenarios="1"/>
  <mergeCells count="74">
    <mergeCell ref="C4:D4"/>
    <mergeCell ref="A51:B51"/>
    <mergeCell ref="A52:B52"/>
    <mergeCell ref="A53:B53"/>
    <mergeCell ref="A1:B1"/>
    <mergeCell ref="A2:B2"/>
    <mergeCell ref="A3:B3"/>
    <mergeCell ref="A4:B4"/>
    <mergeCell ref="A44:B44"/>
    <mergeCell ref="A45:B45"/>
    <mergeCell ref="A46:B46"/>
    <mergeCell ref="A38:E38"/>
    <mergeCell ref="A35:E35"/>
    <mergeCell ref="A41:P42"/>
    <mergeCell ref="A28:E28"/>
    <mergeCell ref="F28:G28"/>
    <mergeCell ref="H20:I20"/>
    <mergeCell ref="H21:I21"/>
    <mergeCell ref="A9:P10"/>
    <mergeCell ref="A49:B49"/>
    <mergeCell ref="A50:B50"/>
    <mergeCell ref="A27:E27"/>
    <mergeCell ref="F27:G27"/>
    <mergeCell ref="H27:I27"/>
    <mergeCell ref="J27:K27"/>
    <mergeCell ref="A26:E26"/>
    <mergeCell ref="F26:G26"/>
    <mergeCell ref="H26:I26"/>
    <mergeCell ref="J26:K26"/>
    <mergeCell ref="A47:B47"/>
    <mergeCell ref="A36:E36"/>
    <mergeCell ref="F36:G36"/>
    <mergeCell ref="F38:G38"/>
    <mergeCell ref="A43:B43"/>
    <mergeCell ref="J29:K29"/>
    <mergeCell ref="H31:I31"/>
    <mergeCell ref="J31:K31"/>
    <mergeCell ref="A32:E32"/>
    <mergeCell ref="F32:G32"/>
    <mergeCell ref="H32:I32"/>
    <mergeCell ref="J32:K32"/>
    <mergeCell ref="A30:E30"/>
    <mergeCell ref="F30:G30"/>
    <mergeCell ref="H30:I30"/>
    <mergeCell ref="J30:K30"/>
    <mergeCell ref="A29:E29"/>
    <mergeCell ref="A34:E34"/>
    <mergeCell ref="F34:G34"/>
    <mergeCell ref="H28:I28"/>
    <mergeCell ref="J28:K28"/>
    <mergeCell ref="A31:E31"/>
    <mergeCell ref="F31:G31"/>
    <mergeCell ref="H34:H35"/>
    <mergeCell ref="I34:P35"/>
    <mergeCell ref="F35:G35"/>
    <mergeCell ref="A33:P33"/>
    <mergeCell ref="F29:G29"/>
    <mergeCell ref="H29:I29"/>
    <mergeCell ref="I1:P1"/>
    <mergeCell ref="A24:P25"/>
    <mergeCell ref="A13:B13"/>
    <mergeCell ref="A12:B12"/>
    <mergeCell ref="A11:B11"/>
    <mergeCell ref="A15:B15"/>
    <mergeCell ref="A14:B14"/>
    <mergeCell ref="A17:B17"/>
    <mergeCell ref="A18:B18"/>
    <mergeCell ref="A19:B19"/>
    <mergeCell ref="A20:B20"/>
    <mergeCell ref="A21:B21"/>
    <mergeCell ref="H17:I17"/>
    <mergeCell ref="H18:I18"/>
    <mergeCell ref="H19:I19"/>
    <mergeCell ref="A7:P7"/>
  </mergeCells>
  <pageMargins left="0.7" right="0.7" top="0.75" bottom="0.75" header="0.3" footer="0.55000000000000004"/>
  <pageSetup scale="65" fitToHeight="0" orientation="portrait" r:id="rId1"/>
  <headerFooter>
    <oddFooter>&amp;R&amp;10Revision 1/Date 3/2020</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AA65"/>
  <sheetViews>
    <sheetView tabSelected="1" topLeftCell="A31" zoomScale="90" zoomScaleNormal="90" workbookViewId="0">
      <selection activeCell="M39" sqref="M39"/>
    </sheetView>
  </sheetViews>
  <sheetFormatPr defaultColWidth="9.140625" defaultRowHeight="14.45"/>
  <cols>
    <col min="1" max="2" width="7.28515625" customWidth="1"/>
    <col min="3" max="6" width="8.42578125" customWidth="1"/>
    <col min="7" max="7" width="6.7109375" customWidth="1"/>
    <col min="8" max="9" width="6.140625" customWidth="1"/>
    <col min="10" max="11" width="5.7109375" customWidth="1"/>
    <col min="12" max="12" width="8.42578125" customWidth="1"/>
    <col min="13" max="13" width="8.28515625" bestFit="1" customWidth="1"/>
    <col min="14" max="15" width="7.42578125" bestFit="1" customWidth="1"/>
    <col min="16" max="16" width="6.5703125" customWidth="1"/>
  </cols>
  <sheetData>
    <row r="1" spans="1:16" s="41" customFormat="1" ht="30.95" customHeight="1">
      <c r="A1" s="149" t="str">
        <f>+'0. Project Details'!A7</f>
        <v>Project Name/Number:</v>
      </c>
      <c r="B1" s="150"/>
      <c r="C1" s="151"/>
      <c r="D1" s="34" t="str">
        <f>CONCATENATE('0. Project Details'!G5," / ", '0. Project Details'!B7)</f>
        <v xml:space="preserve">Meandering River / </v>
      </c>
      <c r="E1" s="100"/>
      <c r="F1" s="100"/>
      <c r="G1" s="100"/>
      <c r="H1" s="101"/>
      <c r="I1" s="677"/>
      <c r="J1" s="678"/>
      <c r="K1" s="678"/>
      <c r="L1" s="678"/>
      <c r="M1" s="678"/>
      <c r="N1" s="678"/>
      <c r="O1" s="678"/>
      <c r="P1" s="679"/>
    </row>
    <row r="2" spans="1:16" s="41" customFormat="1" ht="30.95" customHeight="1">
      <c r="A2" s="674" t="str">
        <f>+'0. Project Details'!A5</f>
        <v>Company:</v>
      </c>
      <c r="B2" s="675"/>
      <c r="D2" s="42" t="str">
        <f>+'0. Project Details'!B5</f>
        <v xml:space="preserve"> Consultant</v>
      </c>
      <c r="E2" s="104"/>
      <c r="F2" s="104"/>
      <c r="G2" s="104"/>
      <c r="H2" s="152"/>
      <c r="I2" s="106"/>
      <c r="J2" s="107"/>
      <c r="K2" s="107"/>
      <c r="L2" s="107"/>
      <c r="M2" s="107"/>
      <c r="N2" s="107"/>
      <c r="O2" s="107"/>
      <c r="P2" s="108"/>
    </row>
    <row r="3" spans="1:16" s="41" customFormat="1" ht="30.95" customHeight="1">
      <c r="A3" s="674" t="str">
        <f>+'0. Project Details'!A6</f>
        <v>Designer:</v>
      </c>
      <c r="B3" s="675"/>
      <c r="D3" s="42" t="str">
        <f>+'0. Project Details'!B6</f>
        <v>John Doe</v>
      </c>
      <c r="E3" s="104"/>
      <c r="F3" s="104"/>
      <c r="G3" s="104"/>
      <c r="H3" s="152"/>
      <c r="I3" s="106"/>
      <c r="J3" s="107"/>
      <c r="K3" s="107"/>
      <c r="L3" s="107"/>
      <c r="M3" s="107"/>
      <c r="N3" s="107"/>
      <c r="O3" s="107"/>
      <c r="P3" s="108"/>
    </row>
    <row r="4" spans="1:16" s="41" customFormat="1" ht="30.95" customHeight="1">
      <c r="A4" s="674" t="str">
        <f>+'0. Project Details'!F6</f>
        <v>Date:</v>
      </c>
      <c r="B4" s="675"/>
      <c r="D4" s="676">
        <f>+'0. Project Details'!G6</f>
        <v>0</v>
      </c>
      <c r="E4" s="676"/>
      <c r="F4" s="104"/>
      <c r="G4" s="104"/>
      <c r="H4" s="152"/>
      <c r="I4" s="106"/>
      <c r="J4" s="107"/>
      <c r="K4" s="107"/>
      <c r="L4" s="107"/>
      <c r="M4" s="107"/>
      <c r="N4" s="107"/>
      <c r="O4" s="107"/>
      <c r="P4" s="108"/>
    </row>
    <row r="5" spans="1:16" s="41" customFormat="1" ht="30.95" customHeight="1" thickBot="1">
      <c r="A5" s="51" t="s">
        <v>27</v>
      </c>
      <c r="B5" s="54"/>
      <c r="C5" s="54"/>
      <c r="D5" s="153">
        <f>+'0. Project Details'!B8</f>
        <v>0</v>
      </c>
      <c r="E5" s="54"/>
      <c r="F5" s="54"/>
      <c r="G5" s="54"/>
      <c r="H5" s="111"/>
      <c r="I5" s="112"/>
      <c r="J5" s="113"/>
      <c r="K5" s="113"/>
      <c r="L5" s="113"/>
      <c r="M5" s="113"/>
      <c r="N5" s="113"/>
      <c r="O5" s="113"/>
      <c r="P5" s="114"/>
    </row>
    <row r="6" spans="1:16" s="41" customFormat="1" ht="19.5" customHeight="1">
      <c r="A6" s="154"/>
      <c r="B6" s="116"/>
      <c r="C6" s="116"/>
      <c r="D6" s="116"/>
      <c r="E6" s="116"/>
      <c r="F6" s="116"/>
      <c r="G6" s="116"/>
      <c r="H6" s="116"/>
      <c r="I6" s="116"/>
      <c r="J6" s="116"/>
      <c r="K6" s="116"/>
      <c r="P6" s="117"/>
    </row>
    <row r="7" spans="1:16" s="41" customFormat="1" ht="27" customHeight="1">
      <c r="A7" s="532" t="s">
        <v>165</v>
      </c>
      <c r="B7" s="533"/>
      <c r="C7" s="533"/>
      <c r="D7" s="533"/>
      <c r="E7" s="533"/>
      <c r="F7" s="533"/>
      <c r="G7" s="533"/>
      <c r="H7" s="533"/>
      <c r="I7" s="533"/>
      <c r="J7" s="533"/>
      <c r="K7" s="533"/>
      <c r="L7" s="533"/>
      <c r="M7" s="533"/>
      <c r="N7" s="533"/>
      <c r="O7" s="533"/>
      <c r="P7" s="534"/>
    </row>
    <row r="8" spans="1:16" s="41" customFormat="1" ht="15" customHeight="1">
      <c r="A8" s="59"/>
      <c r="B8" s="60"/>
      <c r="C8" s="60"/>
      <c r="D8" s="60"/>
      <c r="E8" s="60"/>
      <c r="F8" s="60"/>
      <c r="G8" s="60"/>
      <c r="H8" s="60"/>
      <c r="I8" s="60"/>
      <c r="J8" s="60"/>
      <c r="K8" s="60"/>
      <c r="P8" s="61"/>
    </row>
    <row r="9" spans="1:16" s="41" customFormat="1" ht="15" customHeight="1" thickBot="1">
      <c r="A9" s="59"/>
      <c r="B9" s="60"/>
      <c r="C9" s="60"/>
      <c r="D9" s="60"/>
      <c r="E9" s="60"/>
      <c r="F9" s="60"/>
      <c r="G9" s="60"/>
      <c r="H9" s="60"/>
      <c r="I9" s="60"/>
      <c r="J9" s="60"/>
      <c r="K9" s="60"/>
      <c r="P9" s="61"/>
    </row>
    <row r="10" spans="1:16" ht="14.25" customHeight="1">
      <c r="A10" s="629" t="s">
        <v>97</v>
      </c>
      <c r="B10" s="630"/>
      <c r="C10" s="630"/>
      <c r="D10" s="630"/>
      <c r="E10" s="630"/>
      <c r="F10" s="630"/>
      <c r="G10" s="630"/>
      <c r="H10" s="630"/>
      <c r="I10" s="630"/>
      <c r="J10" s="630"/>
      <c r="K10" s="630"/>
      <c r="L10" s="630"/>
      <c r="M10" s="630"/>
      <c r="N10" s="630"/>
      <c r="O10" s="630"/>
      <c r="P10" s="631"/>
    </row>
    <row r="11" spans="1:16" ht="14.25" customHeight="1">
      <c r="A11" s="632"/>
      <c r="B11" s="633"/>
      <c r="C11" s="633"/>
      <c r="D11" s="633"/>
      <c r="E11" s="633"/>
      <c r="F11" s="633"/>
      <c r="G11" s="633"/>
      <c r="H11" s="633"/>
      <c r="I11" s="633"/>
      <c r="J11" s="633"/>
      <c r="K11" s="633"/>
      <c r="L11" s="633"/>
      <c r="M11" s="633"/>
      <c r="N11" s="633"/>
      <c r="O11" s="633"/>
      <c r="P11" s="634"/>
    </row>
    <row r="12" spans="1:16" ht="29.25" customHeight="1">
      <c r="A12" s="647" t="s">
        <v>75</v>
      </c>
      <c r="B12" s="618"/>
      <c r="C12" s="118" t="s">
        <v>135</v>
      </c>
      <c r="D12" s="118" t="s">
        <v>136</v>
      </c>
      <c r="E12" s="118" t="s">
        <v>137</v>
      </c>
      <c r="F12" s="118" t="s">
        <v>138</v>
      </c>
      <c r="G12" s="119" t="s">
        <v>139</v>
      </c>
      <c r="H12" s="119" t="s">
        <v>140</v>
      </c>
      <c r="I12" s="120" t="s">
        <v>141</v>
      </c>
      <c r="J12" s="120" t="s">
        <v>142</v>
      </c>
      <c r="P12" s="68"/>
    </row>
    <row r="13" spans="1:16" ht="14.25" customHeight="1">
      <c r="A13" s="707" t="str">
        <f>IF('1. Block Properties'!A12="","",'1. Block Properties'!A12)</f>
        <v>4-inch open cell</v>
      </c>
      <c r="B13" s="708"/>
      <c r="C13" s="121">
        <f>IF(A13="","",E13/2)</f>
        <v>0.16666666666666666</v>
      </c>
      <c r="D13" s="121">
        <f>IF(A13="","",C19/2)</f>
        <v>0.5</v>
      </c>
      <c r="E13" s="121">
        <f>IF(A13="","",'1. Block Properties'!D12/12)</f>
        <v>0.33333333333333331</v>
      </c>
      <c r="F13" s="121">
        <f>IF(A13="","",D13)</f>
        <v>0.5</v>
      </c>
      <c r="G13" s="121">
        <f>IF(A13="","",0.5*D19)</f>
        <v>0.5</v>
      </c>
      <c r="H13" s="121">
        <f>IF(A13="","",G13)</f>
        <v>0.5</v>
      </c>
      <c r="I13" s="67">
        <f>IF(A13="","",0.5*SQRT(C19^2+D19^2))</f>
        <v>0.70710678118654757</v>
      </c>
      <c r="J13" s="67">
        <f>IF(A13="","",I13)</f>
        <v>0.70710678118654757</v>
      </c>
      <c r="P13" s="68"/>
    </row>
    <row r="14" spans="1:16" ht="14.25" customHeight="1">
      <c r="A14" s="707" t="str">
        <f>IF('1. Block Properties'!A13="","",'1. Block Properties'!A13)</f>
        <v>4.5-inch open cell</v>
      </c>
      <c r="B14" s="708"/>
      <c r="C14" s="121">
        <f>IF(A14="","",E14/2)</f>
        <v>0.20833333333333334</v>
      </c>
      <c r="D14" s="121">
        <f>IF(A14="","",C20/2)</f>
        <v>0.625</v>
      </c>
      <c r="E14" s="121">
        <f>IF(A14="","",'1. Block Properties'!D13/12)</f>
        <v>0.41666666666666669</v>
      </c>
      <c r="F14" s="121">
        <f>IF(A14="","",D14)</f>
        <v>0.625</v>
      </c>
      <c r="G14" s="121">
        <f>IF(A14="","",0.5*D20)</f>
        <v>0.625</v>
      </c>
      <c r="H14" s="121">
        <f>IF(A14="","",G14)</f>
        <v>0.625</v>
      </c>
      <c r="I14" s="67">
        <f>IF(A14="","",0.5*SQRT(C20^2+D20^2))</f>
        <v>0.88388347648318444</v>
      </c>
      <c r="J14" s="67">
        <f>IF(A14="","",I14)</f>
        <v>0.88388347648318444</v>
      </c>
      <c r="P14" s="68"/>
    </row>
    <row r="15" spans="1:16" ht="14.25" customHeight="1">
      <c r="A15" s="707" t="str">
        <f>IF('1. Block Properties'!A14="","",'1. Block Properties'!A14)</f>
        <v>6-inch open cell</v>
      </c>
      <c r="B15" s="708"/>
      <c r="C15" s="121">
        <f>IF(A15="","",E15/2)</f>
        <v>0.20833333333333334</v>
      </c>
      <c r="D15" s="121">
        <f>IF(A15="","",C21/2)</f>
        <v>0.75</v>
      </c>
      <c r="E15" s="121">
        <f>IF(A15="","",'1. Block Properties'!D14/12)</f>
        <v>0.41666666666666669</v>
      </c>
      <c r="F15" s="121">
        <f>IF(A15="","",D15)</f>
        <v>0.75</v>
      </c>
      <c r="G15" s="121">
        <f>IF(A15="","",0.5*D21)</f>
        <v>0.625</v>
      </c>
      <c r="H15" s="121">
        <f>IF(A15="","",G15)</f>
        <v>0.625</v>
      </c>
      <c r="I15" s="67">
        <f>IF(A15="","",0.5*SQRT(C21^2+D21^2))</f>
        <v>0.97628120948833175</v>
      </c>
      <c r="J15" s="67">
        <f>IF(A15="","",I15)</f>
        <v>0.97628120948833175</v>
      </c>
      <c r="P15" s="68"/>
    </row>
    <row r="16" spans="1:16" ht="14.25" customHeight="1">
      <c r="A16" s="707" t="str">
        <f>IF('1. Block Properties'!A15="","",'1. Block Properties'!A15)</f>
        <v>9-inch open cell</v>
      </c>
      <c r="B16" s="708"/>
      <c r="C16" s="121">
        <f>IF(A16="","",E16/2)</f>
        <v>0.375</v>
      </c>
      <c r="D16" s="121">
        <f>IF(A16="","",C22/2)</f>
        <v>0.71875</v>
      </c>
      <c r="E16" s="121">
        <f>IF(A16="","",'1. Block Properties'!D15/12)</f>
        <v>0.75</v>
      </c>
      <c r="F16" s="121">
        <f>IF(A16="","",D16)</f>
        <v>0.71875</v>
      </c>
      <c r="G16" s="121">
        <f>IF(A16="","",0.5*D22)</f>
        <v>0.64583333333333337</v>
      </c>
      <c r="H16" s="121">
        <f>IF(A16="","",G16)</f>
        <v>0.64583333333333337</v>
      </c>
      <c r="I16" s="67">
        <f>IF(A16="","",0.5*SQRT(C22^2+D22^2))</f>
        <v>0.96628270032348418</v>
      </c>
      <c r="J16" s="67">
        <f>IF(A16="","",I16)</f>
        <v>0.96628270032348418</v>
      </c>
      <c r="P16" s="68"/>
    </row>
    <row r="17" spans="1:16">
      <c r="A17" s="155"/>
      <c r="B17" s="71"/>
      <c r="C17" s="71"/>
      <c r="D17" s="71"/>
      <c r="E17" s="123"/>
      <c r="F17" s="123"/>
      <c r="G17" s="123"/>
      <c r="H17" s="71"/>
      <c r="I17" s="71"/>
      <c r="J17" s="71"/>
      <c r="K17" s="71"/>
      <c r="L17" s="71"/>
      <c r="M17" s="124"/>
      <c r="N17" s="70"/>
      <c r="O17" s="71"/>
      <c r="P17" s="125"/>
    </row>
    <row r="18" spans="1:16" ht="29.25" customHeight="1">
      <c r="A18" s="647" t="s">
        <v>75</v>
      </c>
      <c r="B18" s="618"/>
      <c r="C18" s="119" t="s">
        <v>143</v>
      </c>
      <c r="D18" s="119" t="s">
        <v>144</v>
      </c>
      <c r="E18" s="119" t="s">
        <v>145</v>
      </c>
      <c r="F18" s="119" t="s">
        <v>146</v>
      </c>
      <c r="G18" s="119" t="s">
        <v>147</v>
      </c>
      <c r="H18" s="682" t="s">
        <v>148</v>
      </c>
      <c r="I18" s="683"/>
      <c r="J18" s="71"/>
      <c r="K18" s="71"/>
      <c r="L18" s="71"/>
      <c r="M18" s="124"/>
      <c r="N18" s="70"/>
      <c r="O18" s="71"/>
      <c r="P18" s="125"/>
    </row>
    <row r="19" spans="1:16" ht="14.25" customHeight="1">
      <c r="A19" s="707" t="str">
        <f>IF('1. Block Properties'!A19="","",'1. Block Properties'!A19)</f>
        <v>4-inch open cell</v>
      </c>
      <c r="B19" s="708"/>
      <c r="C19" s="121">
        <f>IF(A13="","",'1. Block Properties'!B12/12)</f>
        <v>1</v>
      </c>
      <c r="D19" s="121">
        <f>IF(A13="","",'1. Block Properties'!C12/12)</f>
        <v>1</v>
      </c>
      <c r="E19" s="126">
        <f>IF(A13="","",'1. Block Properties'!C19)</f>
        <v>1.15E-2</v>
      </c>
      <c r="F19" s="127">
        <f>IF(A13="","",'1. Block Properties'!F12)</f>
        <v>40</v>
      </c>
      <c r="G19" s="67">
        <f>IF(A13="","",'1. Block Properties'!B19)</f>
        <v>1</v>
      </c>
      <c r="H19" s="684">
        <f>IF(A13="","",'1. Block Properties'!B29)</f>
        <v>11</v>
      </c>
      <c r="I19" s="685"/>
      <c r="J19" s="71"/>
      <c r="K19" s="71"/>
      <c r="L19" s="71"/>
      <c r="M19" s="124"/>
      <c r="N19" s="70"/>
      <c r="O19" s="71"/>
      <c r="P19" s="125"/>
    </row>
    <row r="20" spans="1:16" ht="14.25" customHeight="1">
      <c r="A20" s="707" t="str">
        <f>IF('1. Block Properties'!A20="","",'1. Block Properties'!A20)</f>
        <v>4.5-inch open cell</v>
      </c>
      <c r="B20" s="708"/>
      <c r="C20" s="121">
        <f>IF(A14="","",'1. Block Properties'!B13/12)</f>
        <v>1.25</v>
      </c>
      <c r="D20" s="121">
        <f>IF(A14="","",'1. Block Properties'!C13/12)</f>
        <v>1.25</v>
      </c>
      <c r="E20" s="126">
        <f>IF(A14="","",'1. Block Properties'!C20)</f>
        <v>1.15E-2</v>
      </c>
      <c r="F20" s="127">
        <f>IF(A14="","",'1. Block Properties'!F13)</f>
        <v>66</v>
      </c>
      <c r="G20" s="67">
        <f>IF(A14="","",'1. Block Properties'!B20)</f>
        <v>1.1100000000000001</v>
      </c>
      <c r="H20" s="684">
        <f>IF(A14="","",'1. Block Properties'!B30)</f>
        <v>25</v>
      </c>
      <c r="I20" s="685"/>
      <c r="J20" s="71"/>
      <c r="K20" s="71"/>
      <c r="L20" s="71"/>
      <c r="M20" s="124"/>
      <c r="N20" s="70"/>
      <c r="O20" s="71"/>
      <c r="P20" s="125"/>
    </row>
    <row r="21" spans="1:16" ht="14.25" customHeight="1">
      <c r="A21" s="707" t="str">
        <f>IF('1. Block Properties'!A21="","",'1. Block Properties'!A21)</f>
        <v>6-inch open cell</v>
      </c>
      <c r="B21" s="708"/>
      <c r="C21" s="121">
        <f>IF(A15="","",'1. Block Properties'!B14/12)</f>
        <v>1.5</v>
      </c>
      <c r="D21" s="121">
        <f>IF(A15="","",'1. Block Properties'!C14/12)</f>
        <v>1.25</v>
      </c>
      <c r="E21" s="126">
        <f>IF(A15="","",'1. Block Properties'!C21)</f>
        <v>1.35E-2</v>
      </c>
      <c r="F21" s="127">
        <f>IF(A15="","",'1. Block Properties'!F14)</f>
        <v>72.900000000000006</v>
      </c>
      <c r="G21" s="67">
        <f>IF(A15="","",'1. Block Properties'!B21)</f>
        <v>1.3</v>
      </c>
      <c r="H21" s="684">
        <f>IF(A15="","",'1. Block Properties'!B31)</f>
        <v>30</v>
      </c>
      <c r="I21" s="685"/>
      <c r="J21" s="71"/>
      <c r="K21" s="71"/>
      <c r="L21" s="71"/>
      <c r="M21" s="124"/>
      <c r="N21" s="70"/>
      <c r="O21" s="71"/>
      <c r="P21" s="125"/>
    </row>
    <row r="22" spans="1:16" ht="14.25" customHeight="1">
      <c r="A22" s="707" t="str">
        <f>IF('1. Block Properties'!A22="","",'1. Block Properties'!A22)</f>
        <v>9-inch open cell</v>
      </c>
      <c r="B22" s="708"/>
      <c r="C22" s="121">
        <f>IF(A16="","",'1. Block Properties'!B15/12)</f>
        <v>1.4375</v>
      </c>
      <c r="D22" s="121">
        <f>IF(A16="","",'1. Block Properties'!C15/12)</f>
        <v>1.2916666666666667</v>
      </c>
      <c r="E22" s="126">
        <f>IF(A16="","",'1. Block Properties'!C22)</f>
        <v>1.35E-2</v>
      </c>
      <c r="F22" s="127">
        <f>IF(A16="","",'1. Block Properties'!F15)</f>
        <v>163</v>
      </c>
      <c r="G22" s="67">
        <f>IF(A16="","",'1. Block Properties'!B22)</f>
        <v>1.3</v>
      </c>
      <c r="H22" s="684">
        <f>IF(A16="","",'1. Block Properties'!B32)</f>
        <v>27.9</v>
      </c>
      <c r="I22" s="685"/>
      <c r="J22" s="71"/>
      <c r="K22" s="71"/>
      <c r="L22" s="71"/>
      <c r="M22" s="124"/>
      <c r="N22" s="70"/>
      <c r="O22" s="71"/>
      <c r="P22" s="125"/>
    </row>
    <row r="23" spans="1:16" ht="16.5">
      <c r="A23" s="128" t="s">
        <v>149</v>
      </c>
      <c r="B23" s="71"/>
      <c r="C23" s="71"/>
      <c r="D23" s="71"/>
      <c r="E23" s="71"/>
      <c r="F23" s="129"/>
      <c r="G23" s="129"/>
      <c r="H23" s="71"/>
      <c r="I23" s="71"/>
      <c r="J23" s="71"/>
      <c r="K23" s="71"/>
      <c r="L23" s="71"/>
      <c r="M23" s="124"/>
      <c r="N23" s="70"/>
      <c r="O23" s="71"/>
      <c r="P23" s="125"/>
    </row>
    <row r="24" spans="1:16" ht="15" thickBot="1">
      <c r="A24" s="59"/>
      <c r="B24" s="60"/>
      <c r="C24" s="60"/>
      <c r="D24" s="60"/>
      <c r="E24" s="60"/>
      <c r="F24" s="60"/>
      <c r="G24" s="60"/>
      <c r="H24" s="60"/>
      <c r="I24" s="60"/>
      <c r="J24" s="60"/>
      <c r="K24" s="60"/>
      <c r="P24" s="61"/>
    </row>
    <row r="25" spans="1:16" ht="14.25" customHeight="1">
      <c r="A25" s="629" t="s">
        <v>103</v>
      </c>
      <c r="B25" s="630"/>
      <c r="C25" s="630"/>
      <c r="D25" s="630"/>
      <c r="E25" s="630"/>
      <c r="F25" s="630"/>
      <c r="G25" s="630"/>
      <c r="H25" s="630"/>
      <c r="I25" s="630"/>
      <c r="J25" s="630"/>
      <c r="K25" s="630"/>
      <c r="L25" s="630"/>
      <c r="M25" s="630"/>
      <c r="N25" s="630"/>
      <c r="O25" s="630"/>
      <c r="P25" s="631"/>
    </row>
    <row r="26" spans="1:16" ht="14.25" customHeight="1">
      <c r="A26" s="637"/>
      <c r="B26" s="638"/>
      <c r="C26" s="638"/>
      <c r="D26" s="638"/>
      <c r="E26" s="638"/>
      <c r="F26" s="638"/>
      <c r="G26" s="638"/>
      <c r="H26" s="638"/>
      <c r="I26" s="638"/>
      <c r="J26" s="638"/>
      <c r="K26" s="638"/>
      <c r="L26" s="638"/>
      <c r="M26" s="638"/>
      <c r="N26" s="638"/>
      <c r="O26" s="638"/>
      <c r="P26" s="639"/>
    </row>
    <row r="27" spans="1:16" ht="14.25" customHeight="1">
      <c r="A27" s="616"/>
      <c r="B27" s="608"/>
      <c r="C27" s="608"/>
      <c r="D27" s="608"/>
      <c r="E27" s="608"/>
      <c r="F27" s="641" t="s">
        <v>150</v>
      </c>
      <c r="G27" s="641"/>
      <c r="H27" s="608" t="s">
        <v>34</v>
      </c>
      <c r="I27" s="608"/>
      <c r="J27" s="608" t="s">
        <v>35</v>
      </c>
      <c r="K27" s="608"/>
      <c r="P27" s="61"/>
    </row>
    <row r="28" spans="1:16" ht="14.25" customHeight="1">
      <c r="A28" s="609" t="s">
        <v>105</v>
      </c>
      <c r="B28" s="610"/>
      <c r="C28" s="610"/>
      <c r="D28" s="610"/>
      <c r="E28" s="610"/>
      <c r="F28" s="686">
        <f>IF('2. Hydraulic Stability'!F26="","",'2. Hydraulic Stability'!F26)</f>
        <v>1</v>
      </c>
      <c r="G28" s="687"/>
      <c r="H28" s="706">
        <f>+ATAN(F28/100)*180/PI()</f>
        <v>0.57293869768348593</v>
      </c>
      <c r="I28" s="701"/>
      <c r="J28" s="621">
        <f>+H28*PI()/180</f>
        <v>9.9996666866652376E-3</v>
      </c>
      <c r="K28" s="621"/>
      <c r="P28" s="61"/>
    </row>
    <row r="29" spans="1:16" ht="14.25" customHeight="1">
      <c r="A29" s="609" t="s">
        <v>106</v>
      </c>
      <c r="B29" s="610"/>
      <c r="C29" s="610"/>
      <c r="D29" s="610"/>
      <c r="E29" s="610"/>
      <c r="F29" s="686">
        <f>+'2. Hydraulic Stability'!F27:G27</f>
        <v>50</v>
      </c>
      <c r="G29" s="687"/>
      <c r="H29" s="706">
        <f>+ATAN(F29/100)*180/PI()</f>
        <v>26.56505117707799</v>
      </c>
      <c r="I29" s="701"/>
      <c r="J29" s="621">
        <f>+H29*PI()/180</f>
        <v>0.46364760900080615</v>
      </c>
      <c r="K29" s="621"/>
      <c r="P29" s="61"/>
    </row>
    <row r="30" spans="1:16" ht="14.25" customHeight="1">
      <c r="A30" s="609" t="s">
        <v>151</v>
      </c>
      <c r="B30" s="610"/>
      <c r="C30" s="610"/>
      <c r="D30" s="610"/>
      <c r="E30" s="610"/>
      <c r="F30" s="686">
        <f>+TAN(H30*PI()/180)*100</f>
        <v>49.997500187484377</v>
      </c>
      <c r="G30" s="687"/>
      <c r="H30" s="706">
        <f>+J30*180/PI()</f>
        <v>26.56390533596684</v>
      </c>
      <c r="I30" s="701"/>
      <c r="J30" s="621">
        <f>+ATAN(TAN(J29)*COS(J28))</f>
        <v>0.46362761030071181</v>
      </c>
      <c r="K30" s="621"/>
      <c r="P30" s="61"/>
    </row>
    <row r="31" spans="1:16" ht="14.25" customHeight="1">
      <c r="A31" s="609" t="s">
        <v>107</v>
      </c>
      <c r="B31" s="610"/>
      <c r="C31" s="610"/>
      <c r="D31" s="610"/>
      <c r="E31" s="610"/>
      <c r="F31" s="686">
        <f>+'2. Hydraulic Stability'!F28:G28</f>
        <v>8</v>
      </c>
      <c r="G31" s="687"/>
      <c r="H31" s="608"/>
      <c r="I31" s="608"/>
      <c r="J31" s="608"/>
      <c r="K31" s="608"/>
      <c r="P31" s="61"/>
    </row>
    <row r="32" spans="1:16" ht="14.25" customHeight="1">
      <c r="A32" s="609" t="s">
        <v>108</v>
      </c>
      <c r="B32" s="610"/>
      <c r="C32" s="610"/>
      <c r="D32" s="610"/>
      <c r="E32" s="610"/>
      <c r="F32" s="686">
        <f>+'2. Hydraulic Stability'!F29:G29</f>
        <v>2.87810650887574</v>
      </c>
      <c r="G32" s="687"/>
      <c r="H32" s="608"/>
      <c r="I32" s="608"/>
      <c r="J32" s="608"/>
      <c r="K32" s="608"/>
      <c r="P32" s="61"/>
    </row>
    <row r="33" spans="1:27" ht="14.25" customHeight="1">
      <c r="A33" s="609" t="s">
        <v>109</v>
      </c>
      <c r="B33" s="610"/>
      <c r="C33" s="610"/>
      <c r="D33" s="610"/>
      <c r="E33" s="610"/>
      <c r="F33" s="686">
        <f>+'2. Hydraulic Stability'!F30:G30</f>
        <v>0.48</v>
      </c>
      <c r="G33" s="687"/>
      <c r="H33" s="608"/>
      <c r="I33" s="608"/>
      <c r="J33" s="608"/>
      <c r="K33" s="608"/>
      <c r="P33" s="61"/>
    </row>
    <row r="34" spans="1:27">
      <c r="A34" s="596"/>
      <c r="B34" s="597"/>
      <c r="C34" s="597"/>
      <c r="D34" s="597"/>
      <c r="E34" s="597"/>
      <c r="F34" s="597"/>
      <c r="G34" s="597"/>
      <c r="H34" s="597"/>
      <c r="I34" s="597"/>
      <c r="J34" s="597"/>
      <c r="K34" s="597"/>
      <c r="L34" s="597"/>
      <c r="M34" s="597"/>
      <c r="N34" s="597"/>
      <c r="O34" s="597"/>
      <c r="P34" s="598"/>
    </row>
    <row r="35" spans="1:27" ht="15.6" customHeight="1">
      <c r="A35" s="606" t="s">
        <v>111</v>
      </c>
      <c r="B35" s="607"/>
      <c r="C35" s="607"/>
      <c r="D35" s="607"/>
      <c r="E35" s="607"/>
      <c r="F35" s="640">
        <v>62.4</v>
      </c>
      <c r="G35" s="665"/>
      <c r="H35" s="659" t="s">
        <v>112</v>
      </c>
      <c r="I35" s="688" t="s">
        <v>113</v>
      </c>
      <c r="J35" s="688"/>
      <c r="K35" s="688"/>
      <c r="L35" s="688"/>
      <c r="M35" s="688"/>
      <c r="N35" s="688"/>
      <c r="O35" s="688"/>
      <c r="P35" s="689"/>
    </row>
    <row r="36" spans="1:27" ht="14.25" customHeight="1">
      <c r="A36" s="606" t="s">
        <v>114</v>
      </c>
      <c r="B36" s="607"/>
      <c r="C36" s="607"/>
      <c r="D36" s="607"/>
      <c r="E36" s="607"/>
      <c r="F36" s="640">
        <v>131</v>
      </c>
      <c r="G36" s="665"/>
      <c r="H36" s="660"/>
      <c r="I36" s="663"/>
      <c r="J36" s="663"/>
      <c r="K36" s="663"/>
      <c r="L36" s="663"/>
      <c r="M36" s="663"/>
      <c r="N36" s="663"/>
      <c r="O36" s="663"/>
      <c r="P36" s="664"/>
    </row>
    <row r="37" spans="1:27" ht="14.25" customHeight="1">
      <c r="A37" s="606" t="s">
        <v>115</v>
      </c>
      <c r="B37" s="607"/>
      <c r="C37" s="607"/>
      <c r="D37" s="607"/>
      <c r="E37" s="607"/>
      <c r="F37" s="641">
        <f>+F35/32.165</f>
        <v>1.9399968910306233</v>
      </c>
      <c r="G37" s="641"/>
      <c r="H37" s="130"/>
      <c r="I37" s="60"/>
      <c r="J37" s="60"/>
      <c r="K37" s="60"/>
      <c r="P37" s="61"/>
    </row>
    <row r="38" spans="1:27">
      <c r="A38" s="59"/>
      <c r="B38" s="60"/>
      <c r="C38" s="60"/>
      <c r="D38" s="60"/>
      <c r="E38" s="60"/>
      <c r="F38" s="60"/>
      <c r="G38" s="60"/>
      <c r="H38" s="60"/>
      <c r="I38" s="60"/>
      <c r="J38" s="60"/>
      <c r="K38" s="60"/>
      <c r="P38" s="61"/>
    </row>
    <row r="39" spans="1:27" ht="27.75" customHeight="1">
      <c r="A39" s="648" t="s">
        <v>110</v>
      </c>
      <c r="B39" s="649"/>
      <c r="C39" s="649"/>
      <c r="D39" s="649"/>
      <c r="E39" s="649"/>
      <c r="F39" s="650" t="str">
        <f>+'0. Project Details'!E21</f>
        <v>a) Perpendicular to block width (b)</v>
      </c>
      <c r="G39" s="650"/>
      <c r="H39" s="74"/>
      <c r="I39" s="75"/>
      <c r="J39" s="75"/>
      <c r="K39" s="75"/>
      <c r="L39" s="75"/>
      <c r="M39" s="75"/>
      <c r="N39" s="75"/>
      <c r="O39" s="75"/>
      <c r="P39" s="131"/>
      <c r="W39" s="60"/>
      <c r="X39" s="60"/>
    </row>
    <row r="40" spans="1:27" hidden="1">
      <c r="A40" s="156"/>
      <c r="B40" s="157"/>
      <c r="C40" s="157"/>
      <c r="D40" s="157"/>
      <c r="E40" s="157"/>
      <c r="F40" s="698"/>
      <c r="G40" s="698"/>
      <c r="H40" s="158"/>
      <c r="I40" s="158"/>
      <c r="J40" s="158"/>
      <c r="K40" s="158"/>
      <c r="L40" s="159"/>
      <c r="M40" s="159"/>
      <c r="N40" s="159"/>
      <c r="O40" s="159"/>
      <c r="P40" s="160"/>
      <c r="W40" s="60"/>
      <c r="X40" s="60"/>
    </row>
    <row r="41" spans="1:27" ht="15" thickBot="1">
      <c r="A41" s="97"/>
      <c r="B41" s="98"/>
      <c r="C41" s="98"/>
      <c r="D41" s="98"/>
      <c r="E41" s="98"/>
      <c r="F41" s="98"/>
      <c r="G41" s="98"/>
      <c r="H41" s="98"/>
      <c r="I41" s="98"/>
      <c r="J41" s="98"/>
      <c r="K41" s="98"/>
      <c r="L41" s="161"/>
      <c r="M41" s="161"/>
      <c r="N41" s="161"/>
      <c r="O41" s="161"/>
      <c r="P41" s="99"/>
      <c r="W41" s="60"/>
      <c r="X41" s="60"/>
    </row>
    <row r="42" spans="1:27" ht="14.25" customHeight="1">
      <c r="A42" s="651" t="s">
        <v>116</v>
      </c>
      <c r="B42" s="690"/>
      <c r="C42" s="690"/>
      <c r="D42" s="690"/>
      <c r="E42" s="690"/>
      <c r="F42" s="690"/>
      <c r="G42" s="690"/>
      <c r="H42" s="690"/>
      <c r="I42" s="690"/>
      <c r="J42" s="690"/>
      <c r="K42" s="690"/>
      <c r="L42" s="690"/>
      <c r="M42" s="690"/>
      <c r="N42" s="690"/>
      <c r="O42" s="690"/>
      <c r="P42" s="691"/>
      <c r="Q42" s="162"/>
      <c r="W42" s="60"/>
      <c r="X42" s="60"/>
    </row>
    <row r="43" spans="1:27" ht="14.25" customHeight="1">
      <c r="A43" s="692"/>
      <c r="B43" s="693"/>
      <c r="C43" s="693"/>
      <c r="D43" s="693"/>
      <c r="E43" s="693"/>
      <c r="F43" s="693"/>
      <c r="G43" s="693"/>
      <c r="H43" s="693"/>
      <c r="I43" s="693"/>
      <c r="J43" s="693"/>
      <c r="K43" s="693"/>
      <c r="L43" s="693"/>
      <c r="M43" s="693"/>
      <c r="N43" s="693"/>
      <c r="O43" s="693"/>
      <c r="P43" s="694"/>
      <c r="Q43" s="162"/>
      <c r="W43" s="60"/>
      <c r="X43" s="60"/>
    </row>
    <row r="44" spans="1:27" ht="43.5">
      <c r="A44" s="699" t="s">
        <v>75</v>
      </c>
      <c r="B44" s="700"/>
      <c r="C44" s="701"/>
      <c r="D44" s="63" t="s">
        <v>153</v>
      </c>
      <c r="E44" s="63" t="s">
        <v>154</v>
      </c>
      <c r="F44" s="63" t="s">
        <v>122</v>
      </c>
      <c r="G44" s="63" t="s">
        <v>155</v>
      </c>
      <c r="H44" s="682" t="s">
        <v>156</v>
      </c>
      <c r="I44" s="683"/>
      <c r="J44" s="682" t="s">
        <v>157</v>
      </c>
      <c r="K44" s="683"/>
      <c r="L44" s="132" t="s">
        <v>166</v>
      </c>
      <c r="M44" s="64" t="s">
        <v>127</v>
      </c>
      <c r="N44" s="64" t="s">
        <v>128</v>
      </c>
      <c r="O44" s="89" t="s">
        <v>129</v>
      </c>
      <c r="P44" s="163" t="s">
        <v>130</v>
      </c>
      <c r="Q44" s="164"/>
      <c r="R44" s="87" t="s">
        <v>132</v>
      </c>
      <c r="X44" s="165"/>
      <c r="Y44" s="165"/>
    </row>
    <row r="45" spans="1:27" ht="15.6">
      <c r="A45" s="695" t="str">
        <f>+IF(A13="","",A13)</f>
        <v>4-inch open cell</v>
      </c>
      <c r="B45" s="696"/>
      <c r="C45" s="697"/>
      <c r="D45" s="81">
        <f>IF(A45="","",$F$32*G19)</f>
        <v>2.87810650887574</v>
      </c>
      <c r="E45" s="81">
        <f>IF(A45="","",0.5*E19*$F$37*G19*$F$31^2)</f>
        <v>0.7139188558992694</v>
      </c>
      <c r="F45" s="80">
        <f>IF(A45="","",ATAN(C19/D19))</f>
        <v>0.78539816339744828</v>
      </c>
      <c r="G45" s="80">
        <f>+IF($F$39="a) Perpendicular to block width (b)",D19,I13*2)</f>
        <v>1</v>
      </c>
      <c r="H45" s="702">
        <f>IF(A45="","",0.5*$F$33/12*G45*$F$37*$F$31^2)</f>
        <v>2.4831960205191979</v>
      </c>
      <c r="I45" s="703"/>
      <c r="J45" s="704">
        <f>IF(A45="","",F19*((($F$36/62.4)-1)/($F$36/62.4)))</f>
        <v>20.946564885496187</v>
      </c>
      <c r="K45" s="705"/>
      <c r="L45" s="83">
        <f>IF(A45="","",(D13*J45*COS($J$28)/(C13*J45*SIN($J$28)+E13*(D45+H45)+F13*(E45+H45))))</f>
        <v>3.061702155297422</v>
      </c>
      <c r="M45" s="82" t="str">
        <f>IF(A45="","",IF(L45&gt;='0. Project Details'!$B$9,"Ok","Not Ok"))</f>
        <v>Ok</v>
      </c>
      <c r="N45" s="82" t="str">
        <f>IF(A45="","",IF($F$31&lt;'1. Block Properties'!C29,"Ok","Not Ok"))</f>
        <v>Ok</v>
      </c>
      <c r="O45" s="91" t="str">
        <f>IF(A45="","",IF($H$28&lt;'1. Block Properties'!I29,"Ok","Not Ok"))</f>
        <v>Ok</v>
      </c>
      <c r="P45" s="166" t="str">
        <f>IF(A45="","",IF($F$32&lt;'1. Block Properties'!B29,"Ok","Not Ok"))</f>
        <v>Ok</v>
      </c>
      <c r="Q45" s="167"/>
      <c r="R45" s="88">
        <f>+IF(A45="","",IF(M45="Ok",L45,""))</f>
        <v>3.061702155297422</v>
      </c>
      <c r="X45" s="165"/>
      <c r="Y45" s="165"/>
    </row>
    <row r="46" spans="1:27" ht="14.25" customHeight="1">
      <c r="A46" s="695" t="str">
        <f>+IF(A14="","",A14)</f>
        <v>4.5-inch open cell</v>
      </c>
      <c r="B46" s="696"/>
      <c r="C46" s="697"/>
      <c r="D46" s="81">
        <f>IF(A46="","",$F$32*G20)</f>
        <v>3.1946982248520719</v>
      </c>
      <c r="E46" s="81">
        <f>IF(A46="","",0.5*E20*$F$37*G20*$F$31^2)</f>
        <v>0.79244993004818909</v>
      </c>
      <c r="F46" s="80">
        <f>IF(A46="","",ATAN(C20/D20))</f>
        <v>0.78539816339744828</v>
      </c>
      <c r="G46" s="80">
        <f t="shared" ref="G46:G48" si="0">+IF($F$39="a) Perpendicular to block width (b)",D20,I14*2)</f>
        <v>1.25</v>
      </c>
      <c r="H46" s="702">
        <f>IF(A46="","",0.5*$F$33/12*G46*$F$37*$F$31^2)</f>
        <v>3.1039950256489974</v>
      </c>
      <c r="I46" s="703"/>
      <c r="J46" s="704">
        <f>IF(A46="","",F20*((($F$36/62.4)-1)/($F$36/62.4)))</f>
        <v>34.561832061068706</v>
      </c>
      <c r="K46" s="705"/>
      <c r="L46" s="83">
        <f>IF(A46="","",(D14*J46*COS($J$28)/(C14*J46*SIN($J$28)+E14*(D46+H46)+F14*(E46+H46))))</f>
        <v>4.209116403045627</v>
      </c>
      <c r="M46" s="82" t="str">
        <f>IF(A46="","",IF(L46&gt;='0. Project Details'!$B$9,"Ok","Not Ok"))</f>
        <v>Ok</v>
      </c>
      <c r="N46" s="82" t="str">
        <f>IF(A46="","",IF($F$31&lt;'1. Block Properties'!C30,"Ok","Not Ok"))</f>
        <v>Ok</v>
      </c>
      <c r="O46" s="91" t="str">
        <f>IF(A46="","",IF($H$28&lt;'1. Block Properties'!I30,"Ok","Not Ok"))</f>
        <v>Ok</v>
      </c>
      <c r="P46" s="166" t="str">
        <f>IF(A46="","",IF($F$32&lt;'1. Block Properties'!B30,"Ok","Not Ok"))</f>
        <v>Ok</v>
      </c>
      <c r="Q46" s="167"/>
      <c r="R46" s="88">
        <f t="shared" ref="R46:R48" si="1">+IF(A46="","",IF(M46="Ok",L46,""))</f>
        <v>4.209116403045627</v>
      </c>
      <c r="X46" s="135"/>
      <c r="Y46" s="135"/>
      <c r="Z46" s="135"/>
      <c r="AA46" s="135"/>
    </row>
    <row r="47" spans="1:27" ht="14.25" customHeight="1">
      <c r="A47" s="695" t="str">
        <f>+IF(A15="","",A15)</f>
        <v>6-inch open cell</v>
      </c>
      <c r="B47" s="696"/>
      <c r="C47" s="697"/>
      <c r="D47" s="81">
        <f>IF(A47="","",$F$32*G21)</f>
        <v>3.7415384615384624</v>
      </c>
      <c r="E47" s="81">
        <f>IF(A47="","",0.5*E21*$F$37*G21*$F$31^2)</f>
        <v>1.0895022540027981</v>
      </c>
      <c r="F47" s="80">
        <f>IF(A47="","",ATAN(C21/D21))</f>
        <v>0.87605805059819342</v>
      </c>
      <c r="G47" s="80">
        <f t="shared" si="0"/>
        <v>1.25</v>
      </c>
      <c r="H47" s="702">
        <f>IF(A47="","",0.5*$F$33/12*G47*$F$37*$F$31^2)</f>
        <v>3.1039950256489974</v>
      </c>
      <c r="I47" s="703"/>
      <c r="J47" s="704">
        <f>IF(A47="","",F21*((($F$36/62.4)-1)/($F$36/62.4)))</f>
        <v>38.1751145038168</v>
      </c>
      <c r="K47" s="705"/>
      <c r="L47" s="83">
        <f>IF(A47="","",(D15*J47*COS($J$28)/(C15*J47*SIN($J$28)+E15*(D47+H47)+F15*(E47+H47))))</f>
        <v>4.7112244989978382</v>
      </c>
      <c r="M47" s="82" t="str">
        <f>IF(A47="","",IF(L47&gt;='0. Project Details'!$B$9,"Ok","Not Ok"))</f>
        <v>Ok</v>
      </c>
      <c r="N47" s="82" t="str">
        <f>IF(A47="","",IF($F$31&lt;'1. Block Properties'!C31,"Ok","Not Ok"))</f>
        <v>Ok</v>
      </c>
      <c r="O47" s="91" t="str">
        <f>IF(A47="","",IF($H$28&lt;'1. Block Properties'!I31,"Ok","Not Ok"))</f>
        <v>Ok</v>
      </c>
      <c r="P47" s="166" t="str">
        <f>IF(A47="","",IF($F$32&lt;'1. Block Properties'!B31,"Ok","Not Ok"))</f>
        <v>Ok</v>
      </c>
      <c r="Q47" s="167"/>
      <c r="R47" s="88">
        <f t="shared" si="1"/>
        <v>4.7112244989978382</v>
      </c>
      <c r="X47" s="136"/>
      <c r="Y47" s="136"/>
      <c r="Z47" s="136"/>
      <c r="AA47" s="136"/>
    </row>
    <row r="48" spans="1:27" ht="14.25" customHeight="1">
      <c r="A48" s="695" t="str">
        <f>+IF(A16="","",A16)</f>
        <v>9-inch open cell</v>
      </c>
      <c r="B48" s="696"/>
      <c r="C48" s="697"/>
      <c r="D48" s="81">
        <f>IF(A48="","",$F$32*G22)</f>
        <v>3.7415384615384624</v>
      </c>
      <c r="E48" s="81">
        <f>IF(A48="","",0.5*E22*$F$37*G22*$F$31^2)</f>
        <v>1.0895022540027981</v>
      </c>
      <c r="F48" s="80">
        <f>IF(A48="","",ATAN(C22/D22))</f>
        <v>0.83878250688818357</v>
      </c>
      <c r="G48" s="80">
        <f t="shared" si="0"/>
        <v>1.2916666666666667</v>
      </c>
      <c r="H48" s="702">
        <f>IF(A48="","",0.5*$F$33/12*G48*$F$37*$F$31^2)</f>
        <v>3.2074615265039643</v>
      </c>
      <c r="I48" s="703"/>
      <c r="J48" s="704">
        <f>IF(A48="","",F22*((($F$36/62.4)-1)/($F$36/62.4)))</f>
        <v>85.357251908396961</v>
      </c>
      <c r="K48" s="705"/>
      <c r="L48" s="83">
        <f>IF(A48="","",(D16*J48*COS($J$28)/(C16*J48*SIN($J$28)+E16*(D48+H48)+F16*(E48+H48))))</f>
        <v>7.1166544824537521</v>
      </c>
      <c r="M48" s="82" t="str">
        <f>IF(A48="","",IF(L48&gt;='0. Project Details'!$B$9,"Ok","Not Ok"))</f>
        <v>Ok</v>
      </c>
      <c r="N48" s="82" t="str">
        <f>IF(A48="","",IF($F$31&lt;'1. Block Properties'!C32,"Ok","Not Ok"))</f>
        <v>Ok</v>
      </c>
      <c r="O48" s="91" t="str">
        <f>IF(A48="","",IF($H$28&lt;'1. Block Properties'!I32,"Ok","Not Ok"))</f>
        <v>Ok</v>
      </c>
      <c r="P48" s="166" t="str">
        <f>IF(A48="","",IF($F$32&lt;'1. Block Properties'!B32,"Ok","Not Ok"))</f>
        <v>Ok</v>
      </c>
      <c r="Q48" s="167"/>
      <c r="R48" s="88">
        <f t="shared" si="1"/>
        <v>7.1166544824537521</v>
      </c>
      <c r="X48" s="136"/>
      <c r="Y48" s="136"/>
      <c r="Z48" s="136"/>
      <c r="AA48" s="136"/>
    </row>
    <row r="49" spans="1:26" ht="15" thickBot="1">
      <c r="A49" s="168"/>
      <c r="B49" s="169"/>
      <c r="C49" s="169"/>
      <c r="D49" s="169"/>
      <c r="E49" s="169"/>
      <c r="F49" s="169"/>
      <c r="G49" s="169"/>
      <c r="H49" s="169"/>
      <c r="I49" s="169"/>
      <c r="J49" s="169"/>
      <c r="K49" s="169"/>
      <c r="L49" s="169"/>
      <c r="M49" s="169"/>
      <c r="N49" s="169"/>
      <c r="O49" s="169"/>
      <c r="P49" s="170"/>
      <c r="Q49" s="162"/>
      <c r="R49" s="88">
        <f>+MIN(R45:R48)</f>
        <v>3.061702155297422</v>
      </c>
      <c r="W49" s="136"/>
      <c r="X49" s="136"/>
      <c r="Y49" s="136"/>
      <c r="Z49" s="136"/>
    </row>
    <row r="50" spans="1:26" ht="15.6">
      <c r="A50" s="171" t="s">
        <v>131</v>
      </c>
      <c r="B50" s="172"/>
      <c r="C50" s="172"/>
      <c r="D50" s="172"/>
      <c r="E50" s="172"/>
      <c r="F50" s="172"/>
      <c r="G50" s="172"/>
      <c r="H50" s="172"/>
      <c r="I50" s="172"/>
      <c r="J50" s="172"/>
      <c r="K50" s="172"/>
      <c r="L50" s="172"/>
      <c r="M50" s="172"/>
      <c r="N50" s="172"/>
      <c r="O50" s="172"/>
      <c r="P50" s="173"/>
      <c r="Q50" s="162"/>
      <c r="W50" s="136"/>
      <c r="X50" s="136"/>
      <c r="Y50" s="136"/>
      <c r="Z50" s="136"/>
    </row>
    <row r="51" spans="1:26">
      <c r="A51" s="128"/>
      <c r="B51" s="60"/>
      <c r="C51" s="60"/>
      <c r="D51" s="60"/>
      <c r="E51" s="60"/>
      <c r="F51" s="60"/>
      <c r="G51" s="60"/>
      <c r="H51" s="60"/>
      <c r="I51" s="60"/>
      <c r="J51" s="60"/>
      <c r="K51" s="60"/>
      <c r="L51" s="60"/>
      <c r="M51" s="60"/>
      <c r="N51" s="60"/>
      <c r="O51" s="60"/>
      <c r="P51" s="61"/>
      <c r="Q51" s="162"/>
      <c r="W51" s="13"/>
      <c r="X51" s="13"/>
    </row>
    <row r="52" spans="1:26">
      <c r="A52" s="128" t="s">
        <v>133</v>
      </c>
      <c r="B52" s="60"/>
      <c r="C52" s="94" t="str">
        <f>+IF(R49=R45,A45,IF(R49=R46,A46,IF(R49=R47,A47,A48)))</f>
        <v>4-inch open cell</v>
      </c>
      <c r="D52" s="95"/>
      <c r="E52" s="95"/>
      <c r="F52" s="60"/>
      <c r="G52" s="93"/>
      <c r="H52" s="60"/>
      <c r="I52" s="60"/>
      <c r="J52" s="60"/>
      <c r="K52" s="60"/>
      <c r="L52" s="60"/>
      <c r="M52" s="60"/>
      <c r="N52" s="60"/>
      <c r="O52" s="60"/>
      <c r="P52" s="61"/>
    </row>
    <row r="53" spans="1:26" ht="15" thickBot="1">
      <c r="A53" s="97"/>
      <c r="B53" s="98"/>
      <c r="C53" s="98"/>
      <c r="D53" s="98"/>
      <c r="E53" s="98"/>
      <c r="F53" s="98"/>
      <c r="G53" s="98"/>
      <c r="H53" s="98"/>
      <c r="I53" s="98"/>
      <c r="J53" s="98"/>
      <c r="K53" s="98"/>
      <c r="L53" s="98"/>
      <c r="M53" s="98"/>
      <c r="N53" s="98"/>
      <c r="O53" s="98"/>
      <c r="P53" s="99"/>
    </row>
    <row r="54" spans="1:26">
      <c r="A54" s="60"/>
      <c r="B54" s="60"/>
      <c r="C54" s="60"/>
      <c r="D54" s="60"/>
      <c r="E54" s="60"/>
      <c r="F54" s="60"/>
      <c r="G54" s="60"/>
      <c r="H54" s="60"/>
      <c r="I54" s="60"/>
      <c r="J54" s="60"/>
      <c r="K54" s="60"/>
      <c r="L54" s="60"/>
      <c r="M54" s="60"/>
      <c r="N54" s="60"/>
      <c r="O54" s="60"/>
    </row>
    <row r="55" spans="1:26">
      <c r="A55" s="60"/>
      <c r="B55" s="60"/>
      <c r="C55" s="60"/>
      <c r="D55" s="60"/>
      <c r="E55" s="60"/>
      <c r="F55" s="60"/>
      <c r="G55" s="60"/>
      <c r="H55" s="60"/>
      <c r="I55" s="60"/>
      <c r="J55" s="60"/>
      <c r="K55" s="60"/>
      <c r="L55" s="60"/>
    </row>
    <row r="56" spans="1:26">
      <c r="A56" s="60"/>
      <c r="B56" s="60"/>
      <c r="C56" s="60"/>
      <c r="D56" s="60"/>
      <c r="E56" s="60"/>
      <c r="F56" s="60"/>
      <c r="G56" s="60"/>
      <c r="H56" s="60"/>
      <c r="I56" s="60"/>
      <c r="J56" s="60"/>
      <c r="K56" s="60"/>
      <c r="L56" s="60"/>
    </row>
    <row r="57" spans="1:26">
      <c r="A57" s="60"/>
      <c r="B57" s="60"/>
      <c r="C57" s="60"/>
      <c r="D57" s="60"/>
      <c r="E57" s="60"/>
      <c r="F57" s="60"/>
      <c r="G57" s="60"/>
      <c r="H57" s="60"/>
      <c r="I57" s="60"/>
      <c r="J57" s="60"/>
      <c r="K57" s="60"/>
      <c r="L57" s="60"/>
    </row>
    <row r="58" spans="1:26">
      <c r="A58" s="60"/>
      <c r="B58" s="60"/>
      <c r="C58" s="60"/>
      <c r="D58" s="60"/>
      <c r="E58" s="60"/>
      <c r="F58" s="60"/>
      <c r="G58" s="60"/>
      <c r="H58" s="60"/>
      <c r="I58" s="60"/>
      <c r="J58" s="60"/>
      <c r="K58" s="60"/>
      <c r="L58" s="60"/>
    </row>
    <row r="59" spans="1:26">
      <c r="A59" s="60"/>
      <c r="B59" s="60"/>
      <c r="C59" s="60"/>
      <c r="D59" s="60"/>
      <c r="E59" s="60"/>
      <c r="F59" s="60"/>
      <c r="G59" s="60"/>
      <c r="H59" s="60"/>
      <c r="I59" s="60"/>
      <c r="J59" s="60"/>
      <c r="K59" s="60"/>
      <c r="L59" s="60"/>
    </row>
    <row r="60" spans="1:26">
      <c r="A60" s="60"/>
      <c r="B60" s="60"/>
      <c r="C60" s="60"/>
      <c r="D60" s="60"/>
      <c r="E60" s="60"/>
      <c r="F60" s="60"/>
      <c r="G60" s="60"/>
      <c r="H60" s="60"/>
      <c r="I60" s="60"/>
      <c r="J60" s="60"/>
      <c r="K60" s="60"/>
      <c r="L60" s="60"/>
    </row>
    <row r="61" spans="1:26">
      <c r="A61" s="60"/>
      <c r="B61" s="60"/>
      <c r="C61" s="60"/>
      <c r="D61" s="60"/>
      <c r="E61" s="60"/>
      <c r="F61" s="60"/>
      <c r="G61" s="60"/>
      <c r="H61" s="60"/>
      <c r="I61" s="60"/>
      <c r="J61" s="60"/>
      <c r="K61" s="60"/>
      <c r="L61" s="60"/>
    </row>
    <row r="62" spans="1:26">
      <c r="A62" s="60"/>
      <c r="B62" s="60"/>
      <c r="C62" s="60"/>
      <c r="D62" s="60"/>
      <c r="E62" s="60"/>
      <c r="F62" s="60"/>
      <c r="G62" s="60"/>
      <c r="H62" s="60"/>
      <c r="I62" s="60"/>
      <c r="J62" s="60"/>
      <c r="K62" s="60"/>
      <c r="L62" s="60"/>
    </row>
    <row r="63" spans="1:26">
      <c r="A63" s="60"/>
      <c r="B63" s="60"/>
      <c r="C63" s="60"/>
      <c r="D63" s="60"/>
      <c r="E63" s="60"/>
      <c r="F63" s="60"/>
      <c r="G63" s="60"/>
      <c r="H63" s="60"/>
      <c r="I63" s="60"/>
      <c r="J63" s="60"/>
      <c r="K63" s="60"/>
      <c r="L63" s="60"/>
    </row>
    <row r="64" spans="1:26">
      <c r="A64" s="16"/>
      <c r="B64" s="16"/>
      <c r="C64" s="16"/>
      <c r="D64" s="16"/>
      <c r="E64" s="16"/>
      <c r="F64" s="16"/>
      <c r="G64" s="16"/>
      <c r="H64" s="16"/>
      <c r="I64" s="16"/>
      <c r="J64" s="16"/>
      <c r="K64" s="16"/>
      <c r="L64" s="16"/>
    </row>
    <row r="65" spans="1:12">
      <c r="A65" s="16"/>
      <c r="B65" s="16"/>
      <c r="C65" s="16"/>
      <c r="D65" s="16"/>
      <c r="E65" s="16"/>
      <c r="F65" s="16"/>
      <c r="G65" s="16"/>
      <c r="H65" s="16"/>
      <c r="I65" s="16"/>
      <c r="J65" s="16"/>
      <c r="K65" s="16"/>
      <c r="L65" s="16"/>
    </row>
  </sheetData>
  <sheetProtection algorithmName="SHA-512" hashValue="5LP4HCpEr9gXt58/ZZ34Y+I7Qi/4UsvcMbQGPfQXdCIInHiPUKHYbb4y+gBrwTqiUC+uab4+dQZ0l8zqj3thiw==" saltValue="OYnwM3KHHCnTSU7NKnvvNA==" spinCount="100000" sheet="1" objects="1" scenarios="1"/>
  <mergeCells count="79">
    <mergeCell ref="A13:B13"/>
    <mergeCell ref="I1:P1"/>
    <mergeCell ref="A10:P11"/>
    <mergeCell ref="A12:B12"/>
    <mergeCell ref="A7:P7"/>
    <mergeCell ref="A2:B2"/>
    <mergeCell ref="A3:B3"/>
    <mergeCell ref="A4:B4"/>
    <mergeCell ref="D4:E4"/>
    <mergeCell ref="A14:B14"/>
    <mergeCell ref="A15:B15"/>
    <mergeCell ref="A16:B16"/>
    <mergeCell ref="A25:P26"/>
    <mergeCell ref="A27:E27"/>
    <mergeCell ref="F27:G27"/>
    <mergeCell ref="H27:I27"/>
    <mergeCell ref="J27:K27"/>
    <mergeCell ref="A18:B18"/>
    <mergeCell ref="A19:B19"/>
    <mergeCell ref="A20:B20"/>
    <mergeCell ref="A21:B21"/>
    <mergeCell ref="A22:B22"/>
    <mergeCell ref="A28:E28"/>
    <mergeCell ref="F28:G28"/>
    <mergeCell ref="H28:I28"/>
    <mergeCell ref="J28:K28"/>
    <mergeCell ref="A29:E29"/>
    <mergeCell ref="F29:G29"/>
    <mergeCell ref="H29:I29"/>
    <mergeCell ref="J29:K29"/>
    <mergeCell ref="A30:E30"/>
    <mergeCell ref="F30:G30"/>
    <mergeCell ref="H30:I30"/>
    <mergeCell ref="J30:K30"/>
    <mergeCell ref="A31:E31"/>
    <mergeCell ref="F31:G31"/>
    <mergeCell ref="H31:I31"/>
    <mergeCell ref="J31:K31"/>
    <mergeCell ref="H48:I48"/>
    <mergeCell ref="J48:K48"/>
    <mergeCell ref="A32:E32"/>
    <mergeCell ref="F32:G32"/>
    <mergeCell ref="H32:I32"/>
    <mergeCell ref="J32:K32"/>
    <mergeCell ref="A33:E33"/>
    <mergeCell ref="F33:G33"/>
    <mergeCell ref="H33:I33"/>
    <mergeCell ref="J33:K33"/>
    <mergeCell ref="J45:K45"/>
    <mergeCell ref="J46:K46"/>
    <mergeCell ref="J47:K47"/>
    <mergeCell ref="H45:I45"/>
    <mergeCell ref="H46:I46"/>
    <mergeCell ref="H47:I47"/>
    <mergeCell ref="F36:G36"/>
    <mergeCell ref="A48:C48"/>
    <mergeCell ref="F40:G40"/>
    <mergeCell ref="A39:E39"/>
    <mergeCell ref="F39:G39"/>
    <mergeCell ref="A45:C45"/>
    <mergeCell ref="A46:C46"/>
    <mergeCell ref="A47:C47"/>
    <mergeCell ref="A44:C44"/>
    <mergeCell ref="H44:I44"/>
    <mergeCell ref="J44:K44"/>
    <mergeCell ref="H18:I18"/>
    <mergeCell ref="H22:I22"/>
    <mergeCell ref="H21:I21"/>
    <mergeCell ref="H20:I20"/>
    <mergeCell ref="H19:I19"/>
    <mergeCell ref="A34:P34"/>
    <mergeCell ref="H35:H36"/>
    <mergeCell ref="I35:P36"/>
    <mergeCell ref="A42:P43"/>
    <mergeCell ref="A37:E37"/>
    <mergeCell ref="F37:G37"/>
    <mergeCell ref="A35:E35"/>
    <mergeCell ref="F35:G35"/>
    <mergeCell ref="A36:E36"/>
  </mergeCells>
  <pageMargins left="0.7" right="0.7" top="0.75" bottom="0.75" header="0.3" footer="0.55000000000000004"/>
  <pageSetup scale="72" fitToWidth="0" orientation="portrait" r:id="rId1"/>
  <headerFooter>
    <oddFooter>&amp;R&amp;10Revision 1/Date 3/2020</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UT91"/>
  <sheetViews>
    <sheetView topLeftCell="A11" zoomScale="90" zoomScaleNormal="90" workbookViewId="0">
      <selection activeCell="B11" sqref="B11"/>
    </sheetView>
  </sheetViews>
  <sheetFormatPr defaultColWidth="9.140625" defaultRowHeight="14.45"/>
  <cols>
    <col min="1" max="1" width="10" customWidth="1"/>
    <col min="2" max="2" width="9.42578125" customWidth="1"/>
    <col min="3" max="3" width="9.5703125" customWidth="1"/>
    <col min="4" max="4" width="5.5703125" customWidth="1"/>
    <col min="5" max="5" width="4.5703125" customWidth="1"/>
    <col min="6" max="7" width="9.140625" customWidth="1"/>
    <col min="8" max="8" width="9.5703125" customWidth="1"/>
    <col min="9" max="9" width="10.5703125" customWidth="1"/>
    <col min="10" max="10" width="5.42578125" customWidth="1"/>
    <col min="11" max="11" width="6.140625" customWidth="1"/>
    <col min="12" max="12" width="6.28515625" customWidth="1"/>
    <col min="13" max="14" width="8" customWidth="1"/>
    <col min="15" max="15" width="17.42578125" customWidth="1"/>
    <col min="16" max="16" width="12.5703125" bestFit="1" customWidth="1"/>
    <col min="17" max="17" width="4.5703125" bestFit="1" customWidth="1"/>
    <col min="18" max="23" width="13.42578125" customWidth="1"/>
    <col min="29" max="29" width="16.140625" bestFit="1" customWidth="1"/>
    <col min="30" max="30" width="11.85546875" bestFit="1" customWidth="1"/>
    <col min="31" max="31" width="5.85546875" bestFit="1" customWidth="1"/>
    <col min="32" max="32" width="26.5703125" bestFit="1" customWidth="1"/>
    <col min="33" max="33" width="16.5703125" bestFit="1" customWidth="1"/>
    <col min="34" max="34" width="6.5703125" bestFit="1" customWidth="1"/>
    <col min="35" max="35" width="12.28515625" bestFit="1" customWidth="1"/>
    <col min="36" max="36" width="4.7109375" bestFit="1" customWidth="1"/>
    <col min="37" max="37" width="4.7109375" customWidth="1"/>
    <col min="38" max="38" width="5.7109375" bestFit="1" customWidth="1"/>
    <col min="39" max="39" width="5.7109375" customWidth="1"/>
    <col min="40" max="40" width="4.85546875" bestFit="1" customWidth="1"/>
    <col min="41" max="41" width="4.85546875" customWidth="1"/>
    <col min="42" max="42" width="3.85546875" bestFit="1" customWidth="1"/>
    <col min="43" max="43" width="5.85546875" customWidth="1"/>
    <col min="44" max="44" width="7.42578125" bestFit="1" customWidth="1"/>
    <col min="45" max="45" width="5.85546875" customWidth="1"/>
    <col min="46" max="46" width="5.85546875" bestFit="1" customWidth="1"/>
    <col min="47" max="47" width="5.85546875" customWidth="1"/>
    <col min="50" max="50" width="6.85546875" bestFit="1" customWidth="1"/>
    <col min="51" max="51" width="6.85546875" customWidth="1"/>
    <col min="52" max="52" width="6.85546875" bestFit="1" customWidth="1"/>
    <col min="53" max="53" width="6.85546875" customWidth="1"/>
    <col min="54" max="54" width="5.85546875" bestFit="1" customWidth="1"/>
    <col min="55" max="55" width="7.42578125" bestFit="1" customWidth="1"/>
    <col min="56" max="56" width="5.85546875" bestFit="1" customWidth="1"/>
    <col min="57" max="57" width="7.42578125" bestFit="1" customWidth="1"/>
  </cols>
  <sheetData>
    <row r="1" spans="1:24" ht="26.1">
      <c r="A1" s="149" t="s">
        <v>25</v>
      </c>
      <c r="B1" s="174"/>
      <c r="C1" s="34" t="str">
        <f>CONCATENATE('0. Project Details'!G5," / ", '0. Project Details'!B7)</f>
        <v xml:space="preserve">Meandering River / </v>
      </c>
      <c r="D1" s="34"/>
      <c r="E1" s="34"/>
      <c r="F1" s="34"/>
      <c r="G1" s="175"/>
      <c r="H1" s="176"/>
      <c r="I1" s="176"/>
      <c r="J1" s="176"/>
      <c r="K1" s="176"/>
      <c r="L1" s="176"/>
      <c r="M1" s="177"/>
    </row>
    <row r="2" spans="1:24" ht="26.1">
      <c r="A2" s="178" t="s">
        <v>18</v>
      </c>
      <c r="C2" s="179" t="str">
        <f>+'0. Project Details'!B5</f>
        <v xml:space="preserve"> Consultant</v>
      </c>
      <c r="D2" s="179"/>
      <c r="E2" s="179"/>
      <c r="F2" s="179"/>
      <c r="G2" s="180"/>
      <c r="H2" s="181"/>
      <c r="I2" s="181"/>
      <c r="J2" s="181"/>
      <c r="K2" s="181"/>
      <c r="L2" s="181"/>
      <c r="M2" s="182"/>
    </row>
    <row r="3" spans="1:24" ht="26.1">
      <c r="A3" s="178" t="s">
        <v>22</v>
      </c>
      <c r="C3" s="42" t="str">
        <f>+'0. Project Details'!B6</f>
        <v>John Doe</v>
      </c>
      <c r="D3" s="42"/>
      <c r="E3" s="42"/>
      <c r="F3" s="42"/>
      <c r="G3" s="183"/>
      <c r="H3" s="181"/>
      <c r="I3" s="181"/>
      <c r="J3" s="181"/>
      <c r="K3" s="181"/>
      <c r="L3" s="181"/>
      <c r="M3" s="182"/>
    </row>
    <row r="4" spans="1:24" ht="26.1">
      <c r="A4" s="178" t="s">
        <v>24</v>
      </c>
      <c r="C4" s="676">
        <f>+'0. Project Details'!G6</f>
        <v>0</v>
      </c>
      <c r="D4" s="676"/>
      <c r="E4" s="184"/>
      <c r="F4" s="184"/>
      <c r="G4" s="185"/>
      <c r="H4" s="181"/>
      <c r="I4" s="181"/>
      <c r="J4" s="181"/>
      <c r="K4" s="181"/>
      <c r="L4" s="181"/>
      <c r="M4" s="182"/>
    </row>
    <row r="5" spans="1:24" ht="26.45" thickBot="1">
      <c r="A5" s="186" t="s">
        <v>27</v>
      </c>
      <c r="B5" s="52"/>
      <c r="C5" s="53">
        <f>+'0. Project Details'!B8</f>
        <v>0</v>
      </c>
      <c r="D5" s="52"/>
      <c r="E5" s="52"/>
      <c r="F5" s="52"/>
      <c r="G5" s="187"/>
      <c r="H5" s="188"/>
      <c r="I5" s="188"/>
      <c r="J5" s="188"/>
      <c r="K5" s="188"/>
      <c r="L5" s="188"/>
      <c r="M5" s="189"/>
    </row>
    <row r="6" spans="1:24">
      <c r="A6" s="190"/>
      <c r="B6" s="174"/>
      <c r="C6" s="174"/>
      <c r="D6" s="174"/>
      <c r="E6" s="174"/>
      <c r="F6" s="174"/>
      <c r="G6" s="174"/>
      <c r="H6" s="174"/>
      <c r="I6" s="174"/>
      <c r="J6" s="174"/>
      <c r="K6" s="174"/>
      <c r="L6" s="174"/>
      <c r="M6" s="191"/>
    </row>
    <row r="7" spans="1:24" ht="27" customHeight="1">
      <c r="A7" s="532" t="s">
        <v>167</v>
      </c>
      <c r="B7" s="533"/>
      <c r="C7" s="533"/>
      <c r="D7" s="533"/>
      <c r="E7" s="533"/>
      <c r="F7" s="533"/>
      <c r="G7" s="533"/>
      <c r="H7" s="533"/>
      <c r="I7" s="533"/>
      <c r="J7" s="533"/>
      <c r="K7" s="533"/>
      <c r="L7" s="533"/>
      <c r="M7" s="534"/>
      <c r="N7" s="192"/>
      <c r="O7" s="192"/>
      <c r="P7" s="192"/>
      <c r="Q7" s="192"/>
      <c r="R7" s="192"/>
      <c r="S7" s="192"/>
      <c r="T7" s="192"/>
      <c r="U7" s="192"/>
      <c r="V7" s="192"/>
      <c r="W7" s="192"/>
      <c r="X7" s="192"/>
    </row>
    <row r="8" spans="1:24" ht="14.25" customHeight="1">
      <c r="A8" s="59"/>
      <c r="M8" s="68"/>
    </row>
    <row r="9" spans="1:24" ht="26.25" customHeight="1">
      <c r="A9" s="713" t="s">
        <v>168</v>
      </c>
      <c r="B9" s="714"/>
      <c r="C9" s="714"/>
      <c r="D9" s="714"/>
      <c r="E9" s="714"/>
      <c r="F9" s="714"/>
      <c r="G9" s="714"/>
      <c r="H9" s="193"/>
      <c r="I9" s="193"/>
      <c r="J9" s="193"/>
      <c r="K9" s="193"/>
      <c r="L9" s="193"/>
      <c r="M9" s="194"/>
    </row>
    <row r="10" spans="1:24" ht="15.6">
      <c r="A10" s="195"/>
      <c r="B10" s="196"/>
      <c r="C10" s="196"/>
      <c r="D10" s="196"/>
      <c r="E10" s="196"/>
      <c r="F10" s="196"/>
      <c r="G10" s="197"/>
      <c r="M10" s="68"/>
    </row>
    <row r="11" spans="1:24">
      <c r="A11" s="198" t="s">
        <v>20</v>
      </c>
      <c r="B11" s="294" t="s">
        <v>169</v>
      </c>
      <c r="C11" s="294"/>
      <c r="D11" s="295"/>
      <c r="E11" s="295"/>
      <c r="F11" s="295"/>
      <c r="M11" s="68"/>
    </row>
    <row r="12" spans="1:24">
      <c r="A12" s="198" t="s">
        <v>170</v>
      </c>
      <c r="B12" s="199" t="s">
        <v>171</v>
      </c>
      <c r="C12" s="296">
        <v>0</v>
      </c>
      <c r="F12" s="199" t="s">
        <v>172</v>
      </c>
      <c r="G12" s="296">
        <v>71.900000000000006</v>
      </c>
      <c r="H12" s="199" t="s">
        <v>173</v>
      </c>
      <c r="I12" s="296">
        <v>24.2</v>
      </c>
      <c r="M12" s="68"/>
    </row>
    <row r="13" spans="1:24" ht="16.350000000000001" customHeight="1">
      <c r="A13" s="198" t="s">
        <v>174</v>
      </c>
      <c r="C13" s="296">
        <v>7</v>
      </c>
      <c r="D13" s="296"/>
      <c r="E13" s="296"/>
      <c r="F13" s="200"/>
      <c r="H13" s="62"/>
      <c r="M13" s="68"/>
    </row>
    <row r="14" spans="1:24">
      <c r="A14" s="198" t="s">
        <v>175</v>
      </c>
      <c r="B14" s="200"/>
      <c r="C14" s="200"/>
      <c r="D14" s="767">
        <v>7.5000000000000002E-7</v>
      </c>
      <c r="E14" s="767"/>
      <c r="F14" s="201"/>
      <c r="G14" s="200"/>
      <c r="H14" s="202" t="s">
        <v>176</v>
      </c>
      <c r="I14" s="296">
        <v>0</v>
      </c>
      <c r="M14" s="203"/>
      <c r="N14" s="204"/>
      <c r="O14" s="204"/>
      <c r="P14" s="204"/>
      <c r="Q14" s="204"/>
      <c r="R14" s="204"/>
      <c r="S14" s="204"/>
      <c r="T14" s="204"/>
      <c r="U14" s="204"/>
      <c r="V14" s="204"/>
      <c r="W14" s="204"/>
      <c r="X14" s="204"/>
    </row>
    <row r="15" spans="1:24">
      <c r="A15" s="198"/>
      <c r="B15" s="200"/>
      <c r="C15" s="200"/>
      <c r="D15" s="205"/>
      <c r="E15" s="205"/>
      <c r="F15" s="201"/>
      <c r="G15" s="200"/>
      <c r="H15" s="202"/>
      <c r="I15" s="206"/>
      <c r="M15" s="203"/>
      <c r="N15" s="204"/>
      <c r="O15" s="204"/>
      <c r="P15" s="204"/>
      <c r="Q15" s="204"/>
      <c r="R15" s="204"/>
      <c r="S15" s="204"/>
      <c r="T15" s="204"/>
      <c r="U15" s="204"/>
      <c r="V15" s="204"/>
      <c r="W15" s="204"/>
      <c r="X15" s="204"/>
    </row>
    <row r="16" spans="1:24" ht="26.25" customHeight="1">
      <c r="A16" s="713" t="s">
        <v>177</v>
      </c>
      <c r="B16" s="714"/>
      <c r="C16" s="714"/>
      <c r="D16" s="714"/>
      <c r="E16" s="714"/>
      <c r="F16" s="714"/>
      <c r="G16" s="714"/>
      <c r="H16" s="193"/>
      <c r="I16" s="193"/>
      <c r="J16" s="193"/>
      <c r="K16" s="193"/>
      <c r="L16" s="193"/>
      <c r="M16" s="194"/>
      <c r="N16" s="207"/>
      <c r="O16" s="207"/>
      <c r="P16" s="207"/>
      <c r="Q16" s="207"/>
      <c r="R16" s="207"/>
      <c r="S16" s="207"/>
      <c r="T16" s="207"/>
      <c r="U16" s="207"/>
      <c r="V16" s="207"/>
      <c r="W16" s="207"/>
      <c r="X16" s="207"/>
    </row>
    <row r="17" spans="1:24" ht="10.5" customHeight="1">
      <c r="A17" s="162"/>
      <c r="M17" s="203"/>
    </row>
    <row r="18" spans="1:24" ht="14.85" customHeight="1">
      <c r="A18" s="637" t="s">
        <v>178</v>
      </c>
      <c r="B18" s="638"/>
      <c r="C18" s="638"/>
      <c r="D18" s="638"/>
      <c r="E18" s="638"/>
      <c r="F18" s="638"/>
      <c r="G18" s="638"/>
      <c r="H18" s="638"/>
      <c r="I18" s="638"/>
      <c r="J18" s="208"/>
      <c r="K18" s="208"/>
      <c r="L18" s="208"/>
      <c r="M18" s="209"/>
      <c r="N18" s="210"/>
      <c r="O18" s="210"/>
      <c r="P18" s="210"/>
      <c r="Q18" s="210"/>
      <c r="R18" s="210"/>
      <c r="S18" s="210"/>
      <c r="T18" s="210"/>
      <c r="U18" s="210"/>
      <c r="V18" s="210"/>
      <c r="W18" s="210"/>
      <c r="X18" s="210"/>
    </row>
    <row r="19" spans="1:24" ht="9.6" customHeight="1">
      <c r="A19" s="198"/>
      <c r="M19" s="68"/>
    </row>
    <row r="20" spans="1:24" ht="14.25" customHeight="1">
      <c r="A20" s="162"/>
      <c r="C20" s="202" t="s">
        <v>179</v>
      </c>
      <c r="D20" s="297"/>
      <c r="E20" s="211"/>
      <c r="H20" s="202" t="s">
        <v>180</v>
      </c>
      <c r="I20" s="297" t="s">
        <v>181</v>
      </c>
      <c r="M20" s="68"/>
    </row>
    <row r="21" spans="1:24" ht="9.75" customHeight="1">
      <c r="A21" s="198"/>
      <c r="M21" s="68"/>
    </row>
    <row r="22" spans="1:24" ht="16.350000000000001" customHeight="1">
      <c r="A22" s="637" t="s">
        <v>182</v>
      </c>
      <c r="B22" s="638"/>
      <c r="C22" s="638"/>
      <c r="D22" s="638"/>
      <c r="E22" s="638"/>
      <c r="F22" s="638"/>
      <c r="G22" s="638"/>
      <c r="H22" s="638"/>
      <c r="I22" s="638"/>
      <c r="J22" s="212"/>
      <c r="K22" s="212"/>
      <c r="L22" s="212"/>
      <c r="M22" s="213"/>
      <c r="N22" s="207"/>
      <c r="O22" s="207"/>
      <c r="P22" s="207"/>
      <c r="Q22" s="207"/>
      <c r="R22" s="207"/>
      <c r="S22" s="207"/>
      <c r="T22" s="207"/>
      <c r="U22" s="207"/>
      <c r="V22" s="207"/>
      <c r="W22" s="207"/>
      <c r="X22" s="207"/>
    </row>
    <row r="23" spans="1:24">
      <c r="A23" s="214"/>
      <c r="B23" s="763" t="s">
        <v>179</v>
      </c>
      <c r="C23" s="763"/>
      <c r="D23" s="215"/>
      <c r="E23" s="215"/>
      <c r="F23" s="215"/>
      <c r="G23" s="215"/>
      <c r="H23" s="763" t="s">
        <v>183</v>
      </c>
      <c r="I23" s="763"/>
      <c r="J23" s="763"/>
      <c r="K23" s="763"/>
      <c r="L23" s="763"/>
      <c r="M23" s="216"/>
      <c r="N23" s="207"/>
      <c r="O23" s="207"/>
      <c r="P23" s="207"/>
      <c r="Q23" s="207"/>
      <c r="R23" s="207"/>
      <c r="S23" s="207"/>
      <c r="T23" s="207"/>
      <c r="U23" s="207"/>
      <c r="V23" s="207"/>
      <c r="W23" s="207"/>
      <c r="X23" s="207"/>
    </row>
    <row r="24" spans="1:24" ht="16.5">
      <c r="A24" s="162"/>
      <c r="B24" s="202" t="s">
        <v>184</v>
      </c>
      <c r="C24" s="298">
        <v>1.6999999999999999E-3</v>
      </c>
      <c r="D24" s="200"/>
      <c r="E24" s="200"/>
      <c r="F24" s="200"/>
      <c r="G24" s="200"/>
      <c r="H24" s="770" t="s">
        <v>185</v>
      </c>
      <c r="I24" s="770"/>
      <c r="J24" s="772">
        <v>0.18</v>
      </c>
      <c r="K24" s="772"/>
      <c r="L24" s="200"/>
      <c r="M24" s="216"/>
      <c r="N24" s="207"/>
      <c r="O24" s="207"/>
      <c r="P24" s="207"/>
      <c r="Q24" s="207"/>
      <c r="R24" s="207"/>
      <c r="S24" s="207"/>
      <c r="T24" s="207"/>
      <c r="U24" s="207"/>
      <c r="V24" s="207"/>
      <c r="W24" s="207"/>
      <c r="X24" s="207"/>
    </row>
    <row r="25" spans="1:24" ht="16.5">
      <c r="A25" s="162"/>
      <c r="B25" s="202" t="s">
        <v>186</v>
      </c>
      <c r="C25" s="298">
        <v>2.5000000000000001E-3</v>
      </c>
      <c r="D25" s="200"/>
      <c r="E25" s="200"/>
      <c r="F25" s="200"/>
      <c r="G25" s="200"/>
      <c r="H25" s="770" t="s">
        <v>187</v>
      </c>
      <c r="I25" s="770"/>
      <c r="J25" s="772">
        <v>0.42</v>
      </c>
      <c r="K25" s="772"/>
      <c r="L25" s="200"/>
      <c r="M25" s="216"/>
      <c r="N25" s="207"/>
      <c r="O25" s="207"/>
      <c r="P25" s="207"/>
      <c r="Q25" s="207"/>
      <c r="R25" s="207"/>
      <c r="S25" s="207"/>
      <c r="T25" s="207"/>
      <c r="U25" s="207"/>
      <c r="V25" s="207"/>
      <c r="W25" s="207"/>
      <c r="X25" s="207"/>
    </row>
    <row r="26" spans="1:24" ht="16.5">
      <c r="A26" s="162"/>
      <c r="B26" s="202" t="s">
        <v>188</v>
      </c>
      <c r="C26" s="298">
        <v>0.04</v>
      </c>
      <c r="D26" s="200"/>
      <c r="E26" s="200"/>
      <c r="F26" s="200"/>
      <c r="G26" s="200"/>
      <c r="H26" s="770" t="s">
        <v>189</v>
      </c>
      <c r="I26" s="770"/>
      <c r="J26" s="772">
        <v>0.48</v>
      </c>
      <c r="K26" s="772"/>
      <c r="L26" s="200"/>
      <c r="M26" s="216"/>
      <c r="N26" s="207"/>
      <c r="O26" s="207"/>
      <c r="P26" s="207"/>
      <c r="Q26" s="207"/>
      <c r="R26" s="207"/>
      <c r="S26" s="207"/>
      <c r="T26" s="207"/>
      <c r="U26" s="207"/>
      <c r="V26" s="207"/>
      <c r="W26" s="207"/>
      <c r="X26" s="207"/>
    </row>
    <row r="27" spans="1:24" ht="9.75" customHeight="1">
      <c r="A27" s="217"/>
      <c r="B27" s="218"/>
      <c r="C27" s="219"/>
      <c r="D27" s="220"/>
      <c r="E27" s="220"/>
      <c r="F27" s="219"/>
      <c r="G27" s="220"/>
      <c r="H27" s="771"/>
      <c r="I27" s="771"/>
      <c r="J27" s="220"/>
      <c r="K27" s="220"/>
      <c r="L27" s="220"/>
      <c r="M27" s="221"/>
    </row>
    <row r="28" spans="1:24" ht="14.25" customHeight="1">
      <c r="A28" s="764" t="s">
        <v>190</v>
      </c>
      <c r="B28" s="222" t="s">
        <v>191</v>
      </c>
      <c r="C28" s="722" t="s">
        <v>192</v>
      </c>
      <c r="D28" s="223">
        <f>C26</f>
        <v>0.04</v>
      </c>
      <c r="E28" s="722" t="s">
        <v>192</v>
      </c>
      <c r="F28" s="765">
        <f>+D28/D29</f>
        <v>23.529411764705884</v>
      </c>
      <c r="I28" s="722" t="s">
        <v>193</v>
      </c>
      <c r="J28" s="223">
        <f>J26</f>
        <v>0.48</v>
      </c>
      <c r="K28" s="722" t="s">
        <v>192</v>
      </c>
      <c r="L28" s="768">
        <f>+J28/J29</f>
        <v>2.6666666666666665</v>
      </c>
      <c r="M28" s="224"/>
    </row>
    <row r="29" spans="1:24" ht="14.85" customHeight="1">
      <c r="A29" s="764"/>
      <c r="B29" s="225" t="s">
        <v>194</v>
      </c>
      <c r="C29" s="722"/>
      <c r="D29" s="226">
        <f>C24</f>
        <v>1.6999999999999999E-3</v>
      </c>
      <c r="E29" s="722"/>
      <c r="F29" s="766"/>
      <c r="H29" s="200"/>
      <c r="I29" s="722"/>
      <c r="J29" s="226">
        <f>J24</f>
        <v>0.18</v>
      </c>
      <c r="K29" s="722"/>
      <c r="L29" s="769"/>
      <c r="M29" s="216"/>
      <c r="N29" s="227"/>
      <c r="O29" s="227"/>
      <c r="P29" s="227"/>
      <c r="Q29" s="227"/>
      <c r="R29" s="227"/>
      <c r="S29" s="227"/>
      <c r="T29" s="227"/>
      <c r="U29" s="227"/>
      <c r="V29" s="227"/>
      <c r="W29" s="227"/>
      <c r="X29" s="227"/>
    </row>
    <row r="30" spans="1:24" ht="9.6" customHeight="1">
      <c r="A30" s="228"/>
      <c r="B30" s="225"/>
      <c r="C30" s="225"/>
      <c r="D30" s="226"/>
      <c r="E30" s="225"/>
      <c r="F30" s="229"/>
      <c r="H30" s="200"/>
      <c r="I30" s="225"/>
      <c r="J30" s="226"/>
      <c r="K30" s="225"/>
      <c r="L30" s="230"/>
      <c r="M30" s="216"/>
      <c r="N30" s="227"/>
      <c r="O30" s="227"/>
      <c r="P30" s="227"/>
      <c r="Q30" s="227"/>
      <c r="R30" s="227"/>
      <c r="S30" s="227"/>
      <c r="T30" s="227"/>
      <c r="U30" s="227"/>
      <c r="V30" s="227"/>
      <c r="W30" s="227"/>
      <c r="X30" s="227"/>
    </row>
    <row r="31" spans="1:24" ht="16.350000000000001" customHeight="1">
      <c r="A31" s="637" t="s">
        <v>195</v>
      </c>
      <c r="B31" s="638"/>
      <c r="C31" s="638"/>
      <c r="D31" s="638"/>
      <c r="E31" s="638"/>
      <c r="F31" s="638"/>
      <c r="G31" s="638"/>
      <c r="H31" s="638"/>
      <c r="I31" s="638"/>
      <c r="J31" s="212"/>
      <c r="K31" s="212"/>
      <c r="L31" s="208"/>
      <c r="M31" s="231"/>
      <c r="S31" s="207"/>
      <c r="T31" s="207"/>
      <c r="U31" s="207"/>
      <c r="V31" s="207"/>
      <c r="W31" s="207"/>
      <c r="X31" s="207"/>
    </row>
    <row r="32" spans="1:24" ht="16.5">
      <c r="A32" s="232" t="s">
        <v>196</v>
      </c>
      <c r="C32" s="202" t="s">
        <v>197</v>
      </c>
      <c r="D32" s="299">
        <v>8.5</v>
      </c>
      <c r="E32" s="233" t="s">
        <v>198</v>
      </c>
      <c r="F32" s="234">
        <f>C25</f>
        <v>2.5000000000000001E-3</v>
      </c>
      <c r="G32" s="235" t="s">
        <v>192</v>
      </c>
      <c r="H32" s="236">
        <f>+F32*D32</f>
        <v>2.1250000000000002E-2</v>
      </c>
      <c r="M32" s="68"/>
      <c r="N32" s="200"/>
      <c r="O32" s="200"/>
      <c r="P32" s="200"/>
      <c r="Q32" s="200"/>
      <c r="R32" s="200"/>
      <c r="S32" s="200"/>
      <c r="T32" s="200"/>
      <c r="U32" s="200"/>
      <c r="V32" s="200"/>
      <c r="W32" s="200"/>
      <c r="X32" s="200"/>
    </row>
    <row r="33" spans="1:24" ht="11.1" customHeight="1">
      <c r="A33" s="237"/>
      <c r="C33" s="200"/>
      <c r="D33" s="200"/>
      <c r="E33" s="200"/>
      <c r="F33" s="200"/>
      <c r="G33" s="199"/>
      <c r="J33" s="233"/>
      <c r="K33" s="238"/>
      <c r="L33" s="235"/>
      <c r="M33" s="216"/>
      <c r="N33" s="200"/>
      <c r="O33" s="200"/>
      <c r="P33" s="200"/>
      <c r="Q33" s="200"/>
      <c r="R33" s="200"/>
      <c r="S33" s="200"/>
      <c r="T33" s="200"/>
      <c r="U33" s="200"/>
      <c r="V33" s="200"/>
      <c r="W33" s="200"/>
      <c r="X33" s="200"/>
    </row>
    <row r="34" spans="1:24" ht="26.85" customHeight="1">
      <c r="A34" s="725" t="s">
        <v>199</v>
      </c>
      <c r="B34" s="726"/>
      <c r="C34" s="726"/>
      <c r="E34" s="758" t="str">
        <f>+IF(H32&gt;J25,"The granular filter meets the requirements.","The granular filter does not meet the requirements and a second granular filter or a geotextile will be necessary.")</f>
        <v>The granular filter does not meet the requirements and a second granular filter or a geotextile will be necessary.</v>
      </c>
      <c r="F34" s="758"/>
      <c r="G34" s="758"/>
      <c r="H34" s="758"/>
      <c r="I34" s="758"/>
      <c r="J34" s="758"/>
      <c r="K34" s="758"/>
      <c r="L34" s="758"/>
      <c r="M34" s="759"/>
      <c r="N34" s="200"/>
      <c r="O34" s="200"/>
      <c r="P34" s="200"/>
      <c r="Q34" s="200"/>
      <c r="R34" s="200"/>
      <c r="S34" s="200"/>
      <c r="T34" s="200"/>
      <c r="U34" s="200"/>
      <c r="V34" s="200"/>
      <c r="W34" s="200"/>
      <c r="X34" s="200"/>
    </row>
    <row r="35" spans="1:24" ht="9.75" customHeight="1">
      <c r="A35" s="162"/>
      <c r="B35" s="239"/>
      <c r="M35" s="216"/>
      <c r="N35" s="200"/>
      <c r="O35" s="200"/>
      <c r="P35" s="200"/>
      <c r="Q35" s="200"/>
      <c r="R35" s="200"/>
      <c r="S35" s="200"/>
      <c r="T35" s="200"/>
      <c r="U35" s="200"/>
      <c r="V35" s="200"/>
      <c r="W35" s="200"/>
      <c r="X35" s="200"/>
    </row>
    <row r="36" spans="1:24">
      <c r="A36" s="162"/>
      <c r="B36" s="200"/>
      <c r="C36" s="202" t="s">
        <v>200</v>
      </c>
      <c r="E36" s="719" t="s">
        <v>201</v>
      </c>
      <c r="F36" s="719"/>
      <c r="G36" s="719"/>
      <c r="J36" s="199"/>
      <c r="K36" s="200"/>
      <c r="L36" s="200"/>
      <c r="M36" s="216"/>
      <c r="N36" s="200"/>
      <c r="O36" s="200"/>
      <c r="P36" s="200"/>
      <c r="Q36" s="200"/>
      <c r="R36" s="200"/>
      <c r="S36" s="200"/>
      <c r="T36" s="200"/>
      <c r="U36" s="200"/>
      <c r="V36" s="200"/>
      <c r="W36" s="200"/>
      <c r="X36" s="200"/>
    </row>
    <row r="37" spans="1:24" ht="9.6" customHeight="1">
      <c r="A37" s="198"/>
      <c r="M37" s="68"/>
      <c r="N37" s="200"/>
      <c r="O37" s="200"/>
      <c r="P37" s="200"/>
      <c r="Q37" s="200"/>
      <c r="R37" s="200"/>
      <c r="S37" s="200"/>
      <c r="T37" s="200"/>
      <c r="U37" s="200"/>
      <c r="V37" s="200"/>
      <c r="W37" s="200"/>
      <c r="X37" s="200"/>
    </row>
    <row r="38" spans="1:24" ht="15.6">
      <c r="A38" s="637" t="s">
        <v>202</v>
      </c>
      <c r="B38" s="638"/>
      <c r="C38" s="638"/>
      <c r="D38" s="638"/>
      <c r="E38" s="638"/>
      <c r="F38" s="638"/>
      <c r="G38" s="638"/>
      <c r="H38" s="638"/>
      <c r="I38" s="638"/>
      <c r="J38" s="208"/>
      <c r="K38" s="208"/>
      <c r="L38" s="208"/>
      <c r="M38" s="209"/>
      <c r="N38" s="220"/>
      <c r="O38" s="220"/>
      <c r="P38" s="220"/>
      <c r="Q38" s="220"/>
      <c r="R38" s="220"/>
      <c r="S38" s="220"/>
      <c r="T38" s="220"/>
      <c r="U38" s="220"/>
      <c r="V38" s="220"/>
      <c r="W38" s="220"/>
      <c r="X38" s="220"/>
    </row>
    <row r="39" spans="1:24" ht="16.350000000000001" customHeight="1">
      <c r="A39" s="720"/>
      <c r="B39" s="721"/>
      <c r="C39" s="721"/>
      <c r="F39" s="722" t="s">
        <v>203</v>
      </c>
      <c r="G39" s="222" t="s">
        <v>191</v>
      </c>
      <c r="H39" s="722" t="s">
        <v>192</v>
      </c>
      <c r="I39" s="240">
        <v>0.48</v>
      </c>
      <c r="J39" s="722" t="s">
        <v>192</v>
      </c>
      <c r="K39" s="723">
        <v>2.7</v>
      </c>
      <c r="M39" s="68"/>
      <c r="N39" s="238"/>
      <c r="O39" s="238"/>
      <c r="P39" s="238"/>
      <c r="Q39" s="238"/>
      <c r="R39" s="238"/>
      <c r="S39" s="238"/>
      <c r="T39" s="238"/>
      <c r="U39" s="238"/>
      <c r="V39" s="238"/>
      <c r="W39" s="238"/>
      <c r="X39" s="238"/>
    </row>
    <row r="40" spans="1:24" ht="16.5">
      <c r="A40" s="715" t="s">
        <v>204</v>
      </c>
      <c r="B40" s="716"/>
      <c r="C40" s="716"/>
      <c r="D40" s="716"/>
      <c r="E40" s="716"/>
      <c r="F40" s="722"/>
      <c r="G40" s="225" t="s">
        <v>194</v>
      </c>
      <c r="H40" s="722"/>
      <c r="I40" s="241">
        <v>0.18</v>
      </c>
      <c r="J40" s="722"/>
      <c r="K40" s="724"/>
      <c r="M40" s="68"/>
      <c r="N40" s="200"/>
      <c r="O40" s="200"/>
      <c r="P40" s="200"/>
      <c r="Q40" s="200"/>
      <c r="R40" s="200"/>
      <c r="S40" s="200"/>
      <c r="T40" s="200"/>
      <c r="U40" s="200"/>
      <c r="V40" s="200"/>
      <c r="W40" s="200"/>
      <c r="X40" s="200"/>
    </row>
    <row r="41" spans="1:24" ht="16.350000000000001" customHeight="1">
      <c r="A41" s="228" t="s">
        <v>205</v>
      </c>
      <c r="B41" s="298">
        <v>0.18</v>
      </c>
      <c r="C41" s="200"/>
      <c r="F41" s="242" t="s">
        <v>206</v>
      </c>
      <c r="G41" s="200"/>
      <c r="H41" s="200"/>
      <c r="I41" s="200"/>
      <c r="J41" s="200"/>
      <c r="K41" s="200"/>
      <c r="M41" s="68"/>
    </row>
    <row r="42" spans="1:24" ht="16.5">
      <c r="A42" s="228" t="s">
        <v>207</v>
      </c>
      <c r="B42" s="298">
        <v>0.41</v>
      </c>
      <c r="C42" s="200"/>
      <c r="F42" s="242" t="s">
        <v>208</v>
      </c>
      <c r="G42" s="297" t="s">
        <v>181</v>
      </c>
      <c r="H42" s="202" t="s">
        <v>209</v>
      </c>
      <c r="I42" s="297"/>
      <c r="J42" s="200"/>
      <c r="K42" s="200"/>
      <c r="M42" s="68"/>
    </row>
    <row r="43" spans="1:24" ht="16.5">
      <c r="A43" s="228" t="s">
        <v>210</v>
      </c>
      <c r="B43" s="298">
        <v>0.48</v>
      </c>
      <c r="C43" s="200"/>
      <c r="F43" s="242" t="s">
        <v>211</v>
      </c>
      <c r="G43" s="200"/>
      <c r="H43" s="200"/>
      <c r="I43" s="200"/>
      <c r="J43" s="200"/>
      <c r="K43" s="200"/>
      <c r="M43" s="68"/>
    </row>
    <row r="44" spans="1:24" ht="16.5">
      <c r="A44" s="228" t="s">
        <v>212</v>
      </c>
      <c r="B44" s="298">
        <v>1.2</v>
      </c>
      <c r="C44" s="200"/>
      <c r="D44" s="200"/>
      <c r="E44" s="200"/>
      <c r="F44" s="724" t="str">
        <f>IF(G42="X",CONCATENATE(B42," mm &lt; O95 &lt; ",B44," mm"),CONCATENATE("O95 &lt; ",B42," mm"))</f>
        <v>0.41 mm &lt; O95 &lt; 1.2 mm</v>
      </c>
      <c r="G44" s="724"/>
      <c r="H44" s="724"/>
      <c r="I44" s="724"/>
      <c r="M44" s="68"/>
    </row>
    <row r="45" spans="1:24">
      <c r="A45" s="228"/>
      <c r="B45" s="238"/>
      <c r="C45" s="200"/>
      <c r="D45" s="200"/>
      <c r="E45" s="200"/>
      <c r="F45" s="241"/>
      <c r="G45" s="241"/>
      <c r="H45" s="241"/>
      <c r="I45" s="241"/>
      <c r="M45" s="68"/>
    </row>
    <row r="46" spans="1:24">
      <c r="A46" s="228"/>
      <c r="B46" s="238"/>
      <c r="C46" s="200"/>
      <c r="D46" s="200"/>
      <c r="E46" s="200"/>
      <c r="F46" s="241"/>
      <c r="G46" s="241"/>
      <c r="H46" s="241"/>
      <c r="I46" s="241"/>
      <c r="M46" s="68"/>
    </row>
    <row r="47" spans="1:24">
      <c r="A47" s="243"/>
      <c r="B47" s="244"/>
      <c r="C47" s="244"/>
      <c r="D47" s="244"/>
      <c r="E47" s="244"/>
      <c r="F47" s="244"/>
      <c r="G47" s="244"/>
      <c r="H47" s="244"/>
      <c r="I47" s="244"/>
      <c r="J47" s="245"/>
      <c r="K47" s="245"/>
      <c r="L47" s="245"/>
      <c r="M47" s="246" t="s">
        <v>213</v>
      </c>
    </row>
    <row r="48" spans="1:24" ht="15.6">
      <c r="A48" s="637" t="s">
        <v>214</v>
      </c>
      <c r="B48" s="638"/>
      <c r="C48" s="638"/>
      <c r="D48" s="638"/>
      <c r="E48" s="638"/>
      <c r="F48" s="638"/>
      <c r="G48" s="208"/>
      <c r="H48" s="208"/>
      <c r="I48" s="208"/>
      <c r="J48" s="208"/>
      <c r="K48" s="208"/>
      <c r="L48" s="208"/>
      <c r="M48" s="209"/>
    </row>
    <row r="49" spans="1:1242" ht="9.6" customHeight="1">
      <c r="A49" s="720"/>
      <c r="B49" s="721"/>
      <c r="C49" s="721"/>
      <c r="D49" s="721"/>
      <c r="E49" s="721"/>
      <c r="F49" s="721"/>
      <c r="M49" s="68"/>
    </row>
    <row r="50" spans="1:1242" ht="11.85" customHeight="1">
      <c r="A50" s="720" t="s">
        <v>215</v>
      </c>
      <c r="B50" s="721"/>
      <c r="C50" s="721"/>
      <c r="D50" s="721"/>
      <c r="E50" s="721"/>
      <c r="F50" s="721"/>
      <c r="M50" s="68"/>
    </row>
    <row r="51" spans="1:1242" ht="10.5" customHeight="1">
      <c r="A51" s="720"/>
      <c r="B51" s="721"/>
      <c r="C51" s="721"/>
      <c r="D51" s="721"/>
      <c r="E51" s="721"/>
      <c r="F51" s="721"/>
      <c r="M51" s="68"/>
    </row>
    <row r="52" spans="1:1242">
      <c r="A52" s="162"/>
      <c r="C52" s="202" t="s">
        <v>216</v>
      </c>
      <c r="D52" s="297" t="s">
        <v>181</v>
      </c>
      <c r="G52" s="202" t="s">
        <v>217</v>
      </c>
      <c r="H52" s="297"/>
      <c r="M52" s="68"/>
    </row>
    <row r="53" spans="1:1242" ht="9.75" customHeight="1">
      <c r="A53" s="720"/>
      <c r="B53" s="721"/>
      <c r="C53" s="721"/>
      <c r="D53" s="721"/>
      <c r="E53" s="721"/>
      <c r="F53" s="721"/>
      <c r="M53" s="68"/>
    </row>
    <row r="54" spans="1:1242" ht="11.25" customHeight="1">
      <c r="A54" s="162"/>
      <c r="C54" s="202" t="s">
        <v>218</v>
      </c>
      <c r="D54" s="297"/>
      <c r="E54" s="200"/>
      <c r="F54" s="62" t="s">
        <v>219</v>
      </c>
      <c r="G54" s="712"/>
      <c r="H54" s="712"/>
      <c r="I54" s="712"/>
      <c r="M54" s="68"/>
    </row>
    <row r="55" spans="1:1242" ht="10.5" customHeight="1">
      <c r="A55" s="162"/>
      <c r="B55" s="200"/>
      <c r="H55" s="200"/>
      <c r="M55" s="68"/>
    </row>
    <row r="56" spans="1:1242" ht="16.5">
      <c r="A56" s="162"/>
      <c r="B56" s="202" t="s">
        <v>220</v>
      </c>
      <c r="C56" s="299">
        <v>0.02</v>
      </c>
      <c r="I56" s="202" t="s">
        <v>221</v>
      </c>
      <c r="J56" s="240">
        <f>+C56*10</f>
        <v>0.2</v>
      </c>
      <c r="K56" s="200" t="s">
        <v>222</v>
      </c>
      <c r="M56" s="68"/>
    </row>
    <row r="57" spans="1:1242" ht="11.1" customHeight="1">
      <c r="A57" s="162"/>
      <c r="M57" s="68"/>
    </row>
    <row r="58" spans="1:1242" ht="10.35" customHeight="1">
      <c r="A58" s="247"/>
      <c r="M58" s="68"/>
    </row>
    <row r="59" spans="1:1242" ht="14.25" customHeight="1">
      <c r="A59" s="637" t="s">
        <v>223</v>
      </c>
      <c r="B59" s="638"/>
      <c r="C59" s="638"/>
      <c r="D59" s="638"/>
      <c r="E59" s="638"/>
      <c r="F59" s="638"/>
      <c r="G59" s="638"/>
      <c r="H59" s="638"/>
      <c r="I59" s="638"/>
      <c r="J59" s="208"/>
      <c r="K59" s="208"/>
      <c r="L59" s="208"/>
      <c r="M59" s="209"/>
    </row>
    <row r="60" spans="1:1242" ht="11.85" customHeight="1" thickBot="1">
      <c r="A60" s="248"/>
      <c r="M60" s="68"/>
      <c r="O60" s="249" t="s">
        <v>224</v>
      </c>
    </row>
    <row r="61" spans="1:1242" ht="14.85" customHeight="1" thickBot="1">
      <c r="A61" s="162"/>
      <c r="B61" s="245"/>
      <c r="C61" s="250" t="s">
        <v>225</v>
      </c>
      <c r="D61" s="717" t="s">
        <v>226</v>
      </c>
      <c r="E61" s="717"/>
      <c r="F61" s="717"/>
      <c r="G61" s="245"/>
      <c r="H61" s="251" t="s">
        <v>227</v>
      </c>
      <c r="I61" s="718" t="s">
        <v>228</v>
      </c>
      <c r="J61" s="718"/>
      <c r="K61" s="245"/>
      <c r="M61" s="68"/>
      <c r="O61" s="709" t="s">
        <v>229</v>
      </c>
      <c r="P61" s="710"/>
      <c r="Q61" s="710"/>
      <c r="R61" s="710"/>
      <c r="S61" s="710"/>
      <c r="T61" s="710"/>
      <c r="U61" s="710"/>
      <c r="V61" s="710"/>
      <c r="W61" s="711"/>
    </row>
    <row r="62" spans="1:1242" s="259" customFormat="1" ht="14.85" customHeight="1" thickBot="1">
      <c r="A62" s="252"/>
      <c r="B62" s="760" t="s">
        <v>230</v>
      </c>
      <c r="C62" s="761"/>
      <c r="D62" s="762" t="s">
        <v>231</v>
      </c>
      <c r="E62" s="762"/>
      <c r="F62" s="762"/>
      <c r="G62" s="762"/>
      <c r="H62" s="762"/>
      <c r="I62" s="762"/>
      <c r="J62" s="762"/>
      <c r="K62" s="762"/>
      <c r="L62" s="253"/>
      <c r="M62" s="68"/>
      <c r="N62"/>
      <c r="O62" s="254"/>
      <c r="P62" s="255"/>
      <c r="Q62" s="256"/>
      <c r="R62" s="257" t="s">
        <v>232</v>
      </c>
      <c r="S62" s="258"/>
      <c r="T62" s="257" t="s">
        <v>233</v>
      </c>
      <c r="U62" s="258"/>
      <c r="V62" s="257" t="s">
        <v>226</v>
      </c>
      <c r="W62" s="258"/>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c r="EI62"/>
      <c r="EJ62"/>
      <c r="EK62"/>
      <c r="EL62"/>
      <c r="EM62"/>
      <c r="EN62"/>
      <c r="EO62"/>
      <c r="EP62"/>
      <c r="EQ62"/>
      <c r="ER62"/>
      <c r="ES62"/>
      <c r="ET62"/>
      <c r="EU62"/>
      <c r="EV62"/>
      <c r="EW62"/>
      <c r="EX62"/>
      <c r="EY62"/>
      <c r="EZ62"/>
      <c r="FA62"/>
      <c r="FB62"/>
      <c r="FC62"/>
      <c r="FD62"/>
      <c r="FE62"/>
      <c r="FF62"/>
      <c r="FG62"/>
      <c r="FH62"/>
      <c r="FI62"/>
      <c r="FJ62"/>
      <c r="FK62"/>
      <c r="FL62"/>
      <c r="FM62"/>
      <c r="FN62"/>
      <c r="FO62"/>
      <c r="FP62"/>
      <c r="FQ62"/>
      <c r="FR62"/>
      <c r="FS62"/>
      <c r="FT62"/>
      <c r="FU62"/>
      <c r="FV62"/>
      <c r="FW62"/>
      <c r="FX62"/>
      <c r="FY62"/>
      <c r="FZ62"/>
      <c r="GA62"/>
      <c r="GB62"/>
      <c r="GC62"/>
      <c r="GD62"/>
      <c r="GE62"/>
      <c r="GF62"/>
      <c r="GG62"/>
      <c r="GH62"/>
      <c r="GI62"/>
      <c r="GJ62"/>
      <c r="GK62"/>
      <c r="GL62"/>
      <c r="GM62"/>
      <c r="GN62"/>
      <c r="GO62"/>
      <c r="GP62"/>
      <c r="GQ62"/>
      <c r="GR62"/>
      <c r="GS62"/>
      <c r="GT62"/>
      <c r="GU62"/>
      <c r="GV62"/>
      <c r="GW62"/>
      <c r="GX62"/>
      <c r="GY62"/>
      <c r="GZ62"/>
      <c r="HA62"/>
      <c r="HB62"/>
      <c r="HC62"/>
      <c r="HD62"/>
      <c r="HE62"/>
      <c r="HF62"/>
      <c r="HG62"/>
      <c r="HH62"/>
      <c r="HI62"/>
      <c r="HJ62"/>
      <c r="HK62"/>
      <c r="HL62"/>
      <c r="HM62"/>
      <c r="HN62"/>
      <c r="HO62"/>
      <c r="HP62"/>
      <c r="HQ62"/>
      <c r="HR62"/>
      <c r="HS62"/>
      <c r="HT62"/>
      <c r="HU62"/>
      <c r="HV62"/>
      <c r="HW62"/>
      <c r="HX62"/>
      <c r="HY62"/>
      <c r="HZ62"/>
      <c r="IA62"/>
      <c r="IB62"/>
      <c r="IC62"/>
      <c r="ID62"/>
      <c r="IE62"/>
      <c r="IF62"/>
      <c r="IG62"/>
      <c r="IH62"/>
      <c r="II62"/>
      <c r="IJ62"/>
      <c r="IK62"/>
      <c r="IL62"/>
      <c r="IM62"/>
      <c r="IN62"/>
      <c r="IO62"/>
      <c r="IP62"/>
      <c r="IQ62"/>
      <c r="IR62"/>
      <c r="IS62"/>
      <c r="IT62"/>
      <c r="IU62"/>
      <c r="IV62"/>
      <c r="IW62"/>
      <c r="IX62"/>
      <c r="IY62"/>
      <c r="IZ62"/>
      <c r="JA62"/>
      <c r="JB62"/>
      <c r="JC62"/>
      <c r="JD62"/>
      <c r="JE62"/>
      <c r="JF62"/>
      <c r="JG62"/>
      <c r="JH62"/>
      <c r="JI62"/>
      <c r="JJ62"/>
      <c r="JK62"/>
      <c r="JL62"/>
      <c r="JM62"/>
      <c r="JN62"/>
      <c r="JO62"/>
      <c r="JP62"/>
      <c r="JQ62"/>
      <c r="JR62"/>
      <c r="JS62"/>
      <c r="JT62"/>
      <c r="JU62"/>
      <c r="JV62"/>
      <c r="JW62"/>
      <c r="JX62"/>
      <c r="JY62"/>
      <c r="JZ62"/>
      <c r="KA62"/>
      <c r="KB62"/>
      <c r="KC62"/>
      <c r="KD62"/>
      <c r="KE62"/>
      <c r="KF62"/>
      <c r="KG62"/>
      <c r="KH62"/>
      <c r="KI62"/>
      <c r="KJ62"/>
      <c r="KK62"/>
      <c r="KL62"/>
      <c r="KM62"/>
      <c r="KN62"/>
      <c r="KO62"/>
      <c r="KP62"/>
      <c r="KQ62"/>
      <c r="KR62"/>
      <c r="KS62"/>
      <c r="KT62"/>
      <c r="KU62"/>
      <c r="KV62"/>
      <c r="KW62"/>
      <c r="KX62"/>
      <c r="KY62"/>
      <c r="KZ62"/>
      <c r="LA62"/>
      <c r="LB62"/>
      <c r="LC62"/>
      <c r="LD62"/>
      <c r="LE62"/>
      <c r="LF62"/>
      <c r="LG62"/>
      <c r="LH62"/>
      <c r="LI62"/>
      <c r="LJ62"/>
      <c r="LK62"/>
      <c r="LL62"/>
      <c r="LM62"/>
      <c r="LN62"/>
      <c r="LO62"/>
      <c r="LP62"/>
      <c r="LQ62"/>
      <c r="LR62"/>
      <c r="LS62"/>
      <c r="LT62"/>
      <c r="LU62"/>
      <c r="LV62"/>
      <c r="LW62"/>
      <c r="LX62"/>
      <c r="LY62"/>
      <c r="LZ62"/>
      <c r="MA62"/>
      <c r="MB62"/>
      <c r="MC62"/>
      <c r="MD62"/>
      <c r="ME62"/>
      <c r="MF62"/>
      <c r="MG62"/>
      <c r="MH62"/>
      <c r="MI62"/>
      <c r="MJ62"/>
      <c r="MK62"/>
      <c r="ML62"/>
      <c r="MM62"/>
      <c r="MN62"/>
      <c r="MO62"/>
      <c r="MP62"/>
      <c r="MQ62"/>
      <c r="MR62"/>
      <c r="MS62"/>
      <c r="MT62"/>
      <c r="MU62"/>
      <c r="MV62"/>
      <c r="MW62"/>
      <c r="MX62"/>
      <c r="MY62"/>
      <c r="MZ62"/>
      <c r="NA62"/>
      <c r="NB62"/>
      <c r="NC62"/>
      <c r="ND62"/>
      <c r="NE62"/>
      <c r="NF62"/>
      <c r="NG62"/>
      <c r="NH62"/>
      <c r="NI62"/>
      <c r="NJ62"/>
      <c r="NK62"/>
      <c r="NL62"/>
      <c r="NM62"/>
      <c r="NN62"/>
      <c r="NO62"/>
      <c r="NP62"/>
      <c r="NQ62"/>
      <c r="NR62"/>
      <c r="NS62"/>
      <c r="NT62"/>
      <c r="NU62"/>
      <c r="NV62"/>
      <c r="NW62"/>
      <c r="NX62"/>
      <c r="NY62"/>
      <c r="NZ62"/>
      <c r="OA62"/>
      <c r="OB62"/>
      <c r="OC62"/>
      <c r="OD62"/>
      <c r="OE62"/>
      <c r="OF62"/>
      <c r="OG62"/>
      <c r="OH62"/>
      <c r="OI62"/>
      <c r="OJ62"/>
      <c r="OK62"/>
      <c r="OL62"/>
      <c r="OM62"/>
      <c r="ON62"/>
      <c r="OO62"/>
      <c r="OP62"/>
      <c r="OQ62"/>
      <c r="OR62"/>
      <c r="OS62"/>
      <c r="OT62"/>
      <c r="OU62"/>
      <c r="OV62"/>
      <c r="OW62"/>
      <c r="OX62"/>
      <c r="OY62"/>
      <c r="OZ62"/>
      <c r="PA62"/>
      <c r="PB62"/>
      <c r="PC62"/>
      <c r="PD62"/>
      <c r="PE62"/>
      <c r="PF62"/>
      <c r="PG62"/>
      <c r="PH62"/>
      <c r="PI62"/>
      <c r="PJ62"/>
      <c r="PK62"/>
      <c r="PL62"/>
      <c r="PM62"/>
      <c r="PN62"/>
      <c r="PO62"/>
      <c r="PP62"/>
      <c r="PQ62"/>
      <c r="PR62"/>
      <c r="PS62"/>
      <c r="PT62"/>
      <c r="PU62"/>
      <c r="PV62"/>
      <c r="PW62"/>
      <c r="PX62"/>
      <c r="PY62"/>
      <c r="PZ62"/>
      <c r="QA62"/>
      <c r="QB62"/>
      <c r="QC62"/>
      <c r="QD62"/>
      <c r="QE62"/>
      <c r="QF62"/>
      <c r="QG62"/>
      <c r="QH62"/>
      <c r="QI62"/>
      <c r="QJ62"/>
      <c r="QK62"/>
      <c r="QL62"/>
      <c r="QM62"/>
      <c r="QN62"/>
      <c r="QO62"/>
      <c r="QP62"/>
      <c r="QQ62"/>
      <c r="QR62"/>
      <c r="QS62"/>
      <c r="QT62"/>
      <c r="QU62"/>
      <c r="QV62"/>
      <c r="QW62"/>
      <c r="QX62"/>
      <c r="QY62"/>
      <c r="QZ62"/>
      <c r="RA62"/>
      <c r="RB62"/>
      <c r="RC62"/>
      <c r="RD62"/>
      <c r="RE62"/>
      <c r="RF62"/>
      <c r="RG62"/>
      <c r="RH62"/>
      <c r="RI62"/>
      <c r="RJ62"/>
      <c r="RK62"/>
      <c r="RL62"/>
      <c r="RM62"/>
      <c r="RN62"/>
      <c r="RO62"/>
      <c r="RP62"/>
      <c r="RQ62"/>
      <c r="RR62"/>
      <c r="RS62"/>
      <c r="RT62"/>
      <c r="RU62"/>
      <c r="RV62"/>
      <c r="RW62"/>
      <c r="RX62"/>
      <c r="RY62"/>
      <c r="RZ62"/>
      <c r="SA62"/>
      <c r="SB62"/>
      <c r="SC62"/>
      <c r="SD62"/>
      <c r="SE62"/>
      <c r="SF62"/>
      <c r="SG62"/>
      <c r="SH62"/>
      <c r="SI62"/>
      <c r="SJ62"/>
      <c r="SK62"/>
      <c r="SL62"/>
      <c r="SM62"/>
      <c r="SN62"/>
      <c r="SO62"/>
      <c r="SP62"/>
      <c r="SQ62"/>
      <c r="SR62"/>
      <c r="SS62"/>
      <c r="ST62"/>
      <c r="SU62"/>
      <c r="SV62"/>
      <c r="SW62"/>
      <c r="SX62"/>
      <c r="SY62"/>
      <c r="SZ62"/>
      <c r="TA62"/>
      <c r="TB62"/>
      <c r="TC62"/>
      <c r="TD62"/>
      <c r="TE62"/>
      <c r="TF62"/>
      <c r="TG62"/>
      <c r="TH62"/>
      <c r="TI62"/>
      <c r="TJ62"/>
      <c r="TK62"/>
      <c r="TL62"/>
      <c r="TM62"/>
      <c r="TN62"/>
      <c r="TO62"/>
      <c r="TP62"/>
      <c r="TQ62"/>
      <c r="TR62"/>
      <c r="TS62"/>
      <c r="TT62"/>
      <c r="TU62"/>
      <c r="TV62"/>
      <c r="TW62"/>
      <c r="TX62"/>
      <c r="TY62"/>
      <c r="TZ62"/>
      <c r="UA62"/>
      <c r="UB62"/>
      <c r="UC62"/>
      <c r="UD62"/>
      <c r="UE62"/>
      <c r="UF62"/>
      <c r="UG62"/>
      <c r="UH62"/>
      <c r="UI62"/>
      <c r="UJ62"/>
      <c r="UK62"/>
      <c r="UL62"/>
      <c r="UM62"/>
      <c r="UN62"/>
      <c r="UO62"/>
      <c r="UP62"/>
      <c r="UQ62"/>
      <c r="UR62"/>
      <c r="US62"/>
      <c r="UT62"/>
      <c r="UU62"/>
      <c r="UV62"/>
      <c r="UW62"/>
      <c r="UX62"/>
      <c r="UY62"/>
      <c r="UZ62"/>
      <c r="VA62"/>
      <c r="VB62"/>
      <c r="VC62"/>
      <c r="VD62"/>
      <c r="VE62"/>
      <c r="VF62"/>
      <c r="VG62"/>
      <c r="VH62"/>
      <c r="VI62"/>
      <c r="VJ62"/>
      <c r="VK62"/>
      <c r="VL62"/>
      <c r="VM62"/>
      <c r="VN62"/>
      <c r="VO62"/>
      <c r="VP62"/>
      <c r="VQ62"/>
      <c r="VR62"/>
      <c r="VS62"/>
      <c r="VT62"/>
      <c r="VU62"/>
      <c r="VV62"/>
      <c r="VW62"/>
      <c r="VX62"/>
      <c r="VY62"/>
      <c r="VZ62"/>
      <c r="WA62"/>
      <c r="WB62"/>
      <c r="WC62"/>
      <c r="WD62"/>
      <c r="WE62"/>
      <c r="WF62"/>
      <c r="WG62"/>
      <c r="WH62"/>
      <c r="WI62"/>
      <c r="WJ62"/>
      <c r="WK62"/>
      <c r="WL62"/>
      <c r="WM62"/>
      <c r="WN62"/>
      <c r="WO62"/>
      <c r="WP62"/>
      <c r="WQ62"/>
      <c r="WR62"/>
      <c r="WS62"/>
      <c r="WT62"/>
      <c r="WU62"/>
      <c r="WV62"/>
      <c r="WW62"/>
      <c r="WX62"/>
      <c r="WY62"/>
      <c r="WZ62"/>
      <c r="XA62"/>
      <c r="XB62"/>
      <c r="XC62"/>
      <c r="XD62"/>
      <c r="XE62"/>
      <c r="XF62"/>
      <c r="XG62"/>
      <c r="XH62"/>
      <c r="XI62"/>
      <c r="XJ62"/>
      <c r="XK62"/>
      <c r="XL62"/>
      <c r="XM62"/>
      <c r="XN62"/>
      <c r="XO62"/>
      <c r="XP62"/>
      <c r="XQ62"/>
      <c r="XR62"/>
      <c r="XS62"/>
      <c r="XT62"/>
      <c r="XU62"/>
      <c r="XV62"/>
      <c r="XW62"/>
      <c r="XX62"/>
      <c r="XY62"/>
      <c r="XZ62"/>
      <c r="YA62"/>
      <c r="YB62"/>
      <c r="YC62"/>
      <c r="YD62"/>
      <c r="YE62"/>
      <c r="YF62"/>
      <c r="YG62"/>
      <c r="YH62"/>
      <c r="YI62"/>
      <c r="YJ62"/>
      <c r="YK62"/>
      <c r="YL62"/>
      <c r="YM62"/>
      <c r="YN62"/>
      <c r="YO62"/>
      <c r="YP62"/>
      <c r="YQ62"/>
      <c r="YR62"/>
      <c r="YS62"/>
      <c r="YT62"/>
      <c r="YU62"/>
      <c r="YV62"/>
      <c r="YW62"/>
      <c r="YX62"/>
      <c r="YY62"/>
      <c r="YZ62"/>
      <c r="ZA62"/>
      <c r="ZB62"/>
      <c r="ZC62"/>
      <c r="ZD62"/>
      <c r="ZE62"/>
      <c r="ZF62"/>
      <c r="ZG62"/>
      <c r="ZH62"/>
      <c r="ZI62"/>
      <c r="ZJ62"/>
      <c r="ZK62"/>
      <c r="ZL62"/>
      <c r="ZM62"/>
      <c r="ZN62"/>
      <c r="ZO62"/>
      <c r="ZP62"/>
      <c r="ZQ62"/>
      <c r="ZR62"/>
      <c r="ZS62"/>
      <c r="ZT62"/>
      <c r="ZU62"/>
      <c r="ZV62"/>
      <c r="ZW62"/>
      <c r="ZX62"/>
      <c r="ZY62"/>
      <c r="ZZ62"/>
      <c r="AAA62"/>
      <c r="AAB62"/>
      <c r="AAC62"/>
      <c r="AAD62"/>
      <c r="AAE62"/>
      <c r="AAF62"/>
      <c r="AAG62"/>
      <c r="AAH62"/>
      <c r="AAI62"/>
      <c r="AAJ62"/>
      <c r="AAK62"/>
      <c r="AAL62"/>
      <c r="AAM62"/>
      <c r="AAN62"/>
      <c r="AAO62"/>
      <c r="AAP62"/>
      <c r="AAQ62"/>
      <c r="AAR62"/>
      <c r="AAS62"/>
      <c r="AAT62"/>
      <c r="AAU62"/>
      <c r="AAV62"/>
      <c r="AAW62"/>
      <c r="AAX62"/>
      <c r="AAY62"/>
      <c r="AAZ62"/>
      <c r="ABA62"/>
      <c r="ABB62"/>
      <c r="ABC62"/>
      <c r="ABD62"/>
      <c r="ABE62"/>
      <c r="ABF62"/>
      <c r="ABG62"/>
      <c r="ABH62"/>
      <c r="ABI62"/>
      <c r="ABJ62"/>
      <c r="ABK62"/>
      <c r="ABL62"/>
      <c r="ABM62"/>
      <c r="ABN62"/>
      <c r="ABO62"/>
      <c r="ABP62"/>
      <c r="ABQ62"/>
      <c r="ABR62"/>
      <c r="ABS62"/>
      <c r="ABT62"/>
      <c r="ABU62"/>
      <c r="ABV62"/>
      <c r="ABW62"/>
      <c r="ABX62"/>
      <c r="ABY62"/>
      <c r="ABZ62"/>
      <c r="ACA62"/>
      <c r="ACB62"/>
      <c r="ACC62"/>
      <c r="ACD62"/>
      <c r="ACE62"/>
      <c r="ACF62"/>
      <c r="ACG62"/>
      <c r="ACH62"/>
      <c r="ACI62"/>
      <c r="ACJ62"/>
      <c r="ACK62"/>
      <c r="ACL62"/>
      <c r="ACM62"/>
      <c r="ACN62"/>
      <c r="ACO62"/>
      <c r="ACP62"/>
      <c r="ACQ62"/>
      <c r="ACR62"/>
      <c r="ACS62"/>
      <c r="ACT62"/>
      <c r="ACU62"/>
      <c r="ACV62"/>
      <c r="ACW62"/>
      <c r="ACX62"/>
      <c r="ACY62"/>
      <c r="ACZ62"/>
      <c r="ADA62"/>
      <c r="ADB62"/>
      <c r="ADC62"/>
      <c r="ADD62"/>
      <c r="ADE62"/>
      <c r="ADF62"/>
      <c r="ADG62"/>
      <c r="ADH62"/>
      <c r="ADI62"/>
      <c r="ADJ62"/>
      <c r="ADK62"/>
      <c r="ADL62"/>
      <c r="ADM62"/>
      <c r="ADN62"/>
      <c r="ADO62"/>
      <c r="ADP62"/>
      <c r="ADQ62"/>
      <c r="ADR62"/>
      <c r="ADS62"/>
      <c r="ADT62"/>
      <c r="ADU62"/>
      <c r="ADV62"/>
      <c r="ADW62"/>
      <c r="ADX62"/>
      <c r="ADY62"/>
      <c r="ADZ62"/>
      <c r="AEA62"/>
      <c r="AEB62"/>
      <c r="AEC62"/>
      <c r="AED62"/>
      <c r="AEE62"/>
      <c r="AEF62"/>
      <c r="AEG62"/>
      <c r="AEH62"/>
      <c r="AEI62"/>
      <c r="AEJ62"/>
      <c r="AEK62"/>
      <c r="AEL62"/>
      <c r="AEM62"/>
      <c r="AEN62"/>
      <c r="AEO62"/>
      <c r="AEP62"/>
      <c r="AEQ62"/>
      <c r="AER62"/>
      <c r="AES62"/>
      <c r="AET62"/>
      <c r="AEU62"/>
      <c r="AEV62"/>
      <c r="AEW62"/>
      <c r="AEX62"/>
      <c r="AEY62"/>
      <c r="AEZ62"/>
      <c r="AFA62"/>
      <c r="AFB62"/>
      <c r="AFC62"/>
      <c r="AFD62"/>
      <c r="AFE62"/>
      <c r="AFF62"/>
      <c r="AFG62"/>
      <c r="AFH62"/>
      <c r="AFI62"/>
      <c r="AFJ62"/>
      <c r="AFK62"/>
      <c r="AFL62"/>
      <c r="AFM62"/>
      <c r="AFN62"/>
      <c r="AFO62"/>
      <c r="AFP62"/>
      <c r="AFQ62"/>
      <c r="AFR62"/>
      <c r="AFS62"/>
      <c r="AFT62"/>
      <c r="AFU62"/>
      <c r="AFV62"/>
      <c r="AFW62"/>
      <c r="AFX62"/>
      <c r="AFY62"/>
      <c r="AFZ62"/>
      <c r="AGA62"/>
      <c r="AGB62"/>
      <c r="AGC62"/>
      <c r="AGD62"/>
      <c r="AGE62"/>
      <c r="AGF62"/>
      <c r="AGG62"/>
      <c r="AGH62"/>
      <c r="AGI62"/>
      <c r="AGJ62"/>
      <c r="AGK62"/>
      <c r="AGL62"/>
      <c r="AGM62"/>
      <c r="AGN62"/>
      <c r="AGO62"/>
      <c r="AGP62"/>
      <c r="AGQ62"/>
      <c r="AGR62"/>
      <c r="AGS62"/>
      <c r="AGT62"/>
      <c r="AGU62"/>
      <c r="AGV62"/>
      <c r="AGW62"/>
      <c r="AGX62"/>
      <c r="AGY62"/>
      <c r="AGZ62"/>
      <c r="AHA62"/>
      <c r="AHB62"/>
      <c r="AHC62"/>
      <c r="AHD62"/>
      <c r="AHE62"/>
      <c r="AHF62"/>
      <c r="AHG62"/>
      <c r="AHH62"/>
      <c r="AHI62"/>
      <c r="AHJ62"/>
      <c r="AHK62"/>
      <c r="AHL62"/>
      <c r="AHM62"/>
      <c r="AHN62"/>
      <c r="AHO62"/>
      <c r="AHP62"/>
      <c r="AHQ62"/>
      <c r="AHR62"/>
      <c r="AHS62"/>
      <c r="AHT62"/>
      <c r="AHU62"/>
      <c r="AHV62"/>
      <c r="AHW62"/>
      <c r="AHX62"/>
      <c r="AHY62"/>
      <c r="AHZ62"/>
      <c r="AIA62"/>
      <c r="AIB62"/>
      <c r="AIC62"/>
      <c r="AID62"/>
      <c r="AIE62"/>
      <c r="AIF62"/>
      <c r="AIG62"/>
      <c r="AIH62"/>
      <c r="AII62"/>
      <c r="AIJ62"/>
      <c r="AIK62"/>
      <c r="AIL62"/>
      <c r="AIM62"/>
      <c r="AIN62"/>
      <c r="AIO62"/>
      <c r="AIP62"/>
      <c r="AIQ62"/>
      <c r="AIR62"/>
      <c r="AIS62"/>
      <c r="AIT62"/>
      <c r="AIU62"/>
      <c r="AIV62"/>
      <c r="AIW62"/>
      <c r="AIX62"/>
      <c r="AIY62"/>
      <c r="AIZ62"/>
      <c r="AJA62"/>
      <c r="AJB62"/>
      <c r="AJC62"/>
      <c r="AJD62"/>
      <c r="AJE62"/>
      <c r="AJF62"/>
      <c r="AJG62"/>
      <c r="AJH62"/>
      <c r="AJI62"/>
      <c r="AJJ62"/>
      <c r="AJK62"/>
      <c r="AJL62"/>
      <c r="AJM62"/>
      <c r="AJN62"/>
      <c r="AJO62"/>
      <c r="AJP62"/>
      <c r="AJQ62"/>
      <c r="AJR62"/>
      <c r="AJS62"/>
      <c r="AJT62"/>
      <c r="AJU62"/>
      <c r="AJV62"/>
      <c r="AJW62"/>
      <c r="AJX62"/>
      <c r="AJY62"/>
      <c r="AJZ62"/>
      <c r="AKA62"/>
      <c r="AKB62"/>
      <c r="AKC62"/>
      <c r="AKD62"/>
      <c r="AKE62"/>
      <c r="AKF62"/>
      <c r="AKG62"/>
      <c r="AKH62"/>
      <c r="AKI62"/>
      <c r="AKJ62"/>
      <c r="AKK62"/>
      <c r="AKL62"/>
      <c r="AKM62"/>
      <c r="AKN62"/>
      <c r="AKO62"/>
      <c r="AKP62"/>
      <c r="AKQ62"/>
      <c r="AKR62"/>
      <c r="AKS62"/>
      <c r="AKT62"/>
      <c r="AKU62"/>
      <c r="AKV62"/>
      <c r="AKW62"/>
      <c r="AKX62"/>
      <c r="AKY62"/>
      <c r="AKZ62"/>
      <c r="ALA62"/>
      <c r="ALB62"/>
      <c r="ALC62"/>
      <c r="ALD62"/>
      <c r="ALE62"/>
      <c r="ALF62"/>
      <c r="ALG62"/>
      <c r="ALH62"/>
      <c r="ALI62"/>
      <c r="ALJ62"/>
      <c r="ALK62"/>
      <c r="ALL62"/>
      <c r="ALM62"/>
      <c r="ALN62"/>
      <c r="ALO62"/>
      <c r="ALP62"/>
      <c r="ALQ62"/>
      <c r="ALR62"/>
      <c r="ALS62"/>
      <c r="ALT62"/>
      <c r="ALU62"/>
      <c r="ALV62"/>
      <c r="ALW62"/>
      <c r="ALX62"/>
      <c r="ALY62"/>
      <c r="ALZ62"/>
      <c r="AMA62"/>
      <c r="AMB62"/>
      <c r="AMC62"/>
      <c r="AMD62"/>
      <c r="AME62"/>
      <c r="AMF62"/>
      <c r="AMG62"/>
      <c r="AMH62"/>
      <c r="AMI62"/>
      <c r="AMJ62"/>
      <c r="AMK62"/>
      <c r="AML62"/>
      <c r="AMM62"/>
      <c r="AMN62"/>
      <c r="AMO62"/>
      <c r="AMP62"/>
      <c r="AMQ62"/>
      <c r="AMR62"/>
      <c r="AMS62"/>
      <c r="AMT62"/>
      <c r="AMU62"/>
      <c r="AMV62"/>
      <c r="AMW62"/>
      <c r="AMX62"/>
      <c r="AMY62"/>
      <c r="AMZ62"/>
      <c r="ANA62"/>
      <c r="ANB62"/>
      <c r="ANC62"/>
      <c r="AND62"/>
      <c r="ANE62"/>
      <c r="ANF62"/>
      <c r="ANG62"/>
      <c r="ANH62"/>
      <c r="ANI62"/>
      <c r="ANJ62"/>
      <c r="ANK62"/>
      <c r="ANL62"/>
      <c r="ANM62"/>
      <c r="ANN62"/>
      <c r="ANO62"/>
      <c r="ANP62"/>
      <c r="ANQ62"/>
      <c r="ANR62"/>
      <c r="ANS62"/>
      <c r="ANT62"/>
      <c r="ANU62"/>
      <c r="ANV62"/>
      <c r="ANW62"/>
      <c r="ANX62"/>
      <c r="ANY62"/>
      <c r="ANZ62"/>
      <c r="AOA62"/>
      <c r="AOB62"/>
      <c r="AOC62"/>
      <c r="AOD62"/>
      <c r="AOE62"/>
      <c r="AOF62"/>
      <c r="AOG62"/>
      <c r="AOH62"/>
      <c r="AOI62"/>
      <c r="AOJ62"/>
      <c r="AOK62"/>
      <c r="AOL62"/>
      <c r="AOM62"/>
      <c r="AON62"/>
      <c r="AOO62"/>
      <c r="AOP62"/>
      <c r="AOQ62"/>
      <c r="AOR62"/>
      <c r="AOS62"/>
      <c r="AOT62"/>
      <c r="AOU62"/>
      <c r="AOV62"/>
      <c r="AOW62"/>
      <c r="AOX62"/>
      <c r="AOY62"/>
      <c r="AOZ62"/>
      <c r="APA62"/>
      <c r="APB62"/>
      <c r="APC62"/>
      <c r="APD62"/>
      <c r="APE62"/>
      <c r="APF62"/>
      <c r="APG62"/>
      <c r="APH62"/>
      <c r="API62"/>
      <c r="APJ62"/>
      <c r="APK62"/>
      <c r="APL62"/>
      <c r="APM62"/>
      <c r="APN62"/>
      <c r="APO62"/>
      <c r="APP62"/>
      <c r="APQ62"/>
      <c r="APR62"/>
      <c r="APS62"/>
      <c r="APT62"/>
      <c r="APU62"/>
      <c r="APV62"/>
      <c r="APW62"/>
      <c r="APX62"/>
      <c r="APY62"/>
      <c r="APZ62"/>
      <c r="AQA62"/>
      <c r="AQB62"/>
      <c r="AQC62"/>
      <c r="AQD62"/>
      <c r="AQE62"/>
      <c r="AQF62"/>
      <c r="AQG62"/>
      <c r="AQH62"/>
      <c r="AQI62"/>
      <c r="AQJ62"/>
      <c r="AQK62"/>
      <c r="AQL62"/>
      <c r="AQM62"/>
      <c r="AQN62"/>
      <c r="AQO62"/>
      <c r="AQP62"/>
      <c r="AQQ62"/>
      <c r="AQR62"/>
      <c r="AQS62"/>
      <c r="AQT62"/>
      <c r="AQU62"/>
      <c r="AQV62"/>
      <c r="AQW62"/>
      <c r="AQX62"/>
      <c r="AQY62"/>
      <c r="AQZ62"/>
      <c r="ARA62"/>
      <c r="ARB62"/>
      <c r="ARC62"/>
      <c r="ARD62"/>
      <c r="ARE62"/>
      <c r="ARF62"/>
      <c r="ARG62"/>
      <c r="ARH62"/>
      <c r="ARI62"/>
      <c r="ARJ62"/>
      <c r="ARK62"/>
      <c r="ARL62"/>
      <c r="ARM62"/>
      <c r="ARN62"/>
      <c r="ARO62"/>
      <c r="ARP62"/>
      <c r="ARQ62"/>
      <c r="ARR62"/>
      <c r="ARS62"/>
      <c r="ART62"/>
      <c r="ARU62"/>
      <c r="ARV62"/>
      <c r="ARW62"/>
      <c r="ARX62"/>
      <c r="ARY62"/>
      <c r="ARZ62"/>
      <c r="ASA62"/>
      <c r="ASB62"/>
      <c r="ASC62"/>
      <c r="ASD62"/>
      <c r="ASE62"/>
      <c r="ASF62"/>
      <c r="ASG62"/>
      <c r="ASH62"/>
      <c r="ASI62"/>
      <c r="ASJ62"/>
      <c r="ASK62"/>
      <c r="ASL62"/>
      <c r="ASM62"/>
      <c r="ASN62"/>
      <c r="ASO62"/>
      <c r="ASP62"/>
      <c r="ASQ62"/>
      <c r="ASR62"/>
      <c r="ASS62"/>
      <c r="AST62"/>
      <c r="ASU62"/>
      <c r="ASV62"/>
      <c r="ASW62"/>
      <c r="ASX62"/>
      <c r="ASY62"/>
      <c r="ASZ62"/>
      <c r="ATA62"/>
      <c r="ATB62"/>
      <c r="ATC62"/>
      <c r="ATD62"/>
      <c r="ATE62"/>
      <c r="ATF62"/>
      <c r="ATG62"/>
      <c r="ATH62"/>
      <c r="ATI62"/>
      <c r="ATJ62"/>
      <c r="ATK62"/>
      <c r="ATL62"/>
      <c r="ATM62"/>
      <c r="ATN62"/>
      <c r="ATO62"/>
      <c r="ATP62"/>
      <c r="ATQ62"/>
      <c r="ATR62"/>
      <c r="ATS62"/>
      <c r="ATT62"/>
      <c r="ATU62"/>
      <c r="ATV62"/>
      <c r="ATW62"/>
      <c r="ATX62"/>
      <c r="ATY62"/>
      <c r="ATZ62"/>
      <c r="AUA62"/>
      <c r="AUB62"/>
      <c r="AUC62"/>
      <c r="AUD62"/>
      <c r="AUE62"/>
      <c r="AUF62"/>
      <c r="AUG62"/>
      <c r="AUH62"/>
      <c r="AUI62"/>
      <c r="AUJ62"/>
      <c r="AUK62"/>
      <c r="AUL62"/>
      <c r="AUM62"/>
      <c r="AUN62"/>
      <c r="AUO62"/>
      <c r="AUP62"/>
      <c r="AUQ62"/>
      <c r="AUR62"/>
      <c r="AUS62"/>
      <c r="AUT62"/>
    </row>
    <row r="63" spans="1:1242" ht="16.350000000000001" customHeight="1" thickBot="1">
      <c r="A63" s="252"/>
      <c r="B63" s="748" t="s">
        <v>234</v>
      </c>
      <c r="C63" s="749"/>
      <c r="D63" s="727" t="s">
        <v>235</v>
      </c>
      <c r="E63" s="727"/>
      <c r="F63" s="750"/>
      <c r="G63" s="751" t="s">
        <v>236</v>
      </c>
      <c r="H63" s="727"/>
      <c r="I63" s="752" t="s">
        <v>237</v>
      </c>
      <c r="J63" s="727"/>
      <c r="K63" s="727"/>
      <c r="L63" s="253"/>
      <c r="M63" s="68"/>
      <c r="O63" s="260" t="s">
        <v>238</v>
      </c>
      <c r="P63" s="260" t="s">
        <v>239</v>
      </c>
      <c r="Q63" s="260" t="s">
        <v>240</v>
      </c>
      <c r="R63" s="260" t="s">
        <v>228</v>
      </c>
      <c r="S63" s="260" t="s">
        <v>241</v>
      </c>
      <c r="T63" s="260" t="s">
        <v>228</v>
      </c>
      <c r="U63" s="260" t="s">
        <v>241</v>
      </c>
      <c r="V63" s="260" t="s">
        <v>228</v>
      </c>
      <c r="W63" s="260" t="s">
        <v>241</v>
      </c>
    </row>
    <row r="64" spans="1:1242" ht="14.85" customHeight="1">
      <c r="A64" s="252"/>
      <c r="B64" s="753" t="s">
        <v>242</v>
      </c>
      <c r="C64" s="754"/>
      <c r="D64" s="755" t="s">
        <v>243</v>
      </c>
      <c r="E64" s="756"/>
      <c r="F64" s="261" t="s">
        <v>244</v>
      </c>
      <c r="G64" s="262" t="s">
        <v>243</v>
      </c>
      <c r="H64" s="263" t="s">
        <v>244</v>
      </c>
      <c r="I64" s="262" t="s">
        <v>243</v>
      </c>
      <c r="J64" s="757" t="s">
        <v>244</v>
      </c>
      <c r="K64" s="757"/>
      <c r="L64" s="253"/>
      <c r="M64" s="68"/>
      <c r="O64" s="260" t="s">
        <v>245</v>
      </c>
      <c r="P64" s="264" t="s">
        <v>246</v>
      </c>
      <c r="Q64" s="265" t="s">
        <v>247</v>
      </c>
      <c r="R64" s="265">
        <v>315</v>
      </c>
      <c r="S64" s="265">
        <v>200</v>
      </c>
      <c r="T64" s="265">
        <v>250</v>
      </c>
      <c r="U64" s="265">
        <v>160</v>
      </c>
      <c r="V64" s="265">
        <v>180</v>
      </c>
      <c r="W64" s="265">
        <v>110</v>
      </c>
    </row>
    <row r="65" spans="1:23">
      <c r="A65" s="252"/>
      <c r="B65" s="659" t="s">
        <v>248</v>
      </c>
      <c r="C65" s="744"/>
      <c r="D65" s="659"/>
      <c r="E65" s="744"/>
      <c r="F65" s="266"/>
      <c r="G65" s="267"/>
      <c r="H65" s="268"/>
      <c r="I65" s="267"/>
      <c r="J65" s="745"/>
      <c r="K65" s="746"/>
      <c r="L65" s="253"/>
      <c r="M65" s="68"/>
      <c r="O65" s="269" t="s">
        <v>249</v>
      </c>
      <c r="P65" s="270" t="s">
        <v>246</v>
      </c>
      <c r="Q65" s="271" t="s">
        <v>247</v>
      </c>
      <c r="R65" s="271">
        <v>285</v>
      </c>
      <c r="S65" s="271">
        <v>180</v>
      </c>
      <c r="T65" s="271">
        <v>220</v>
      </c>
      <c r="U65" s="271">
        <v>140</v>
      </c>
      <c r="V65" s="271">
        <v>160</v>
      </c>
      <c r="W65" s="271">
        <v>100</v>
      </c>
    </row>
    <row r="66" spans="1:23">
      <c r="A66" s="252"/>
      <c r="B66" s="660">
        <f>+IF(Condition="Class 1",IF(I61="Elongation &lt;50%",R64,S64),IF(Condition="Class 2",IF(I61="Elongation &lt;50%",T64,U64),IF(I61="Elongation &lt;50%",V64,W64)))</f>
        <v>180</v>
      </c>
      <c r="C66" s="747"/>
      <c r="D66" s="736">
        <v>81</v>
      </c>
      <c r="E66" s="737"/>
      <c r="F66" s="240" t="str">
        <f>+IF(D66&gt;=B66,"Yes","No")</f>
        <v>No</v>
      </c>
      <c r="G66" s="300">
        <v>200</v>
      </c>
      <c r="H66" s="272" t="str">
        <f>+IF(G66&gt;=B66,"Yes","No")</f>
        <v>Yes</v>
      </c>
      <c r="I66" s="300">
        <v>310</v>
      </c>
      <c r="J66" s="724" t="str">
        <f>+IF(I66&gt;=B66,"Yes","No")</f>
        <v>Yes</v>
      </c>
      <c r="K66" s="743"/>
      <c r="L66" s="253"/>
      <c r="M66" s="68"/>
      <c r="O66" s="269" t="s">
        <v>250</v>
      </c>
      <c r="P66" s="270" t="s">
        <v>251</v>
      </c>
      <c r="Q66" s="271" t="s">
        <v>247</v>
      </c>
      <c r="R66" s="271">
        <v>110</v>
      </c>
      <c r="S66" s="271">
        <v>80</v>
      </c>
      <c r="T66" s="271">
        <v>90</v>
      </c>
      <c r="U66" s="271">
        <v>55</v>
      </c>
      <c r="V66" s="271">
        <v>70</v>
      </c>
      <c r="W66" s="271">
        <v>40</v>
      </c>
    </row>
    <row r="67" spans="1:23" ht="15" thickBot="1">
      <c r="A67" s="252"/>
      <c r="B67" s="741" t="s">
        <v>252</v>
      </c>
      <c r="C67" s="742"/>
      <c r="D67" s="731"/>
      <c r="E67" s="732"/>
      <c r="F67" s="225"/>
      <c r="G67" s="273"/>
      <c r="H67" s="274"/>
      <c r="I67" s="273"/>
      <c r="J67" s="733"/>
      <c r="K67" s="733"/>
      <c r="L67" s="253"/>
      <c r="M67" s="68"/>
      <c r="O67" s="275" t="s">
        <v>253</v>
      </c>
      <c r="P67" s="276" t="s">
        <v>254</v>
      </c>
      <c r="Q67" s="277" t="s">
        <v>247</v>
      </c>
      <c r="R67" s="277">
        <v>620</v>
      </c>
      <c r="S67" s="277">
        <v>435</v>
      </c>
      <c r="T67" s="277">
        <v>495</v>
      </c>
      <c r="U67" s="277">
        <v>310</v>
      </c>
      <c r="V67" s="277">
        <v>370</v>
      </c>
      <c r="W67" s="277">
        <v>220</v>
      </c>
    </row>
    <row r="68" spans="1:23">
      <c r="A68" s="252"/>
      <c r="B68" s="734">
        <f>+IF(Condition="Class 1",IF(I61="Elongation &lt;50%",R65,S65),IF(Condition="Class 2",IF(I61="Elongation &lt;50%",T65,U65),IF(I61="Elongation &lt;50%",V65,W65)))</f>
        <v>160</v>
      </c>
      <c r="C68" s="735"/>
      <c r="D68" s="736">
        <v>45</v>
      </c>
      <c r="E68" s="737"/>
      <c r="F68" s="240" t="str">
        <f>+IF(D68&gt;=B68,"Yes","No")</f>
        <v>No</v>
      </c>
      <c r="G68" s="300">
        <v>160</v>
      </c>
      <c r="H68" s="272" t="str">
        <f>+IF(G68&gt;=B68,"Yes","No")</f>
        <v>Yes</v>
      </c>
      <c r="I68" s="300">
        <v>180</v>
      </c>
      <c r="J68" s="724" t="str">
        <f>+IF(I68&gt;=B68,"Yes","No")</f>
        <v>Yes</v>
      </c>
      <c r="K68" s="743"/>
      <c r="L68" s="253"/>
      <c r="M68" s="68"/>
    </row>
    <row r="69" spans="1:23" ht="29.1" customHeight="1">
      <c r="A69" s="252"/>
      <c r="B69" s="731" t="s">
        <v>255</v>
      </c>
      <c r="C69" s="732"/>
      <c r="D69" s="731"/>
      <c r="E69" s="732"/>
      <c r="F69" s="225"/>
      <c r="G69" s="273"/>
      <c r="H69" s="274"/>
      <c r="I69" s="273"/>
      <c r="J69" s="733"/>
      <c r="K69" s="733"/>
      <c r="L69" s="253"/>
      <c r="M69" s="68"/>
    </row>
    <row r="70" spans="1:23">
      <c r="A70" s="252"/>
      <c r="B70" s="734">
        <f>+IF(Condition="Class 1",IF(I61="Elongation &lt;50%",R66,S66),IF(Condition="Class 2",IF(I61="Elongation &lt;50%",T66,U66),IF(I61="Elongation &lt;50%",V66,W66)))</f>
        <v>70</v>
      </c>
      <c r="C70" s="735"/>
      <c r="D70" s="736">
        <v>34</v>
      </c>
      <c r="E70" s="737"/>
      <c r="F70" s="240" t="str">
        <f>+IF(D70&gt;=B70,"Yes","No")</f>
        <v>No</v>
      </c>
      <c r="G70" s="300">
        <v>80</v>
      </c>
      <c r="H70" s="272" t="str">
        <f>+IF(G70&gt;=B70,"Yes","No")</f>
        <v>Yes</v>
      </c>
      <c r="I70" s="300">
        <v>85</v>
      </c>
      <c r="J70" s="724" t="str">
        <f>+IF(I70&gt;=B70,"Yes","No")</f>
        <v>Yes</v>
      </c>
      <c r="K70" s="724"/>
      <c r="L70" s="253"/>
      <c r="M70" s="68"/>
    </row>
    <row r="71" spans="1:23">
      <c r="A71" s="252"/>
      <c r="B71" s="278" t="s">
        <v>256</v>
      </c>
      <c r="C71" s="279"/>
      <c r="D71" s="738"/>
      <c r="E71" s="739"/>
      <c r="F71" s="280"/>
      <c r="G71" s="281"/>
      <c r="H71" s="282"/>
      <c r="I71" s="281"/>
      <c r="J71" s="740"/>
      <c r="K71" s="740"/>
      <c r="L71" s="253"/>
      <c r="M71" s="68"/>
    </row>
    <row r="72" spans="1:23">
      <c r="A72" s="252"/>
      <c r="B72" s="734">
        <f>+IF(Condition="Class 1",IF(I61="Elongation &lt;50%",R67,S67),IF(Condition="Class 2",IF(I61="Elongation &lt;50%",T67,U67),IF(I61="Elongation &lt;50%",V67,W67)))</f>
        <v>370</v>
      </c>
      <c r="C72" s="735"/>
      <c r="D72" s="736">
        <v>43</v>
      </c>
      <c r="E72" s="737"/>
      <c r="F72" s="240" t="str">
        <f>+IF(D72&gt;=B72,"Yes","No")</f>
        <v>No</v>
      </c>
      <c r="G72" s="300">
        <v>385</v>
      </c>
      <c r="H72" s="272" t="str">
        <f>+IF(G72&gt;=B72,"Yes","No")</f>
        <v>Yes</v>
      </c>
      <c r="I72" s="300">
        <v>405</v>
      </c>
      <c r="J72" s="724" t="str">
        <f>+IF(I72&gt;=B72,"Yes","No")</f>
        <v>Yes</v>
      </c>
      <c r="K72" s="724"/>
      <c r="L72" s="253"/>
      <c r="M72" s="68"/>
    </row>
    <row r="73" spans="1:23" ht="23.1" customHeight="1">
      <c r="A73" s="162"/>
      <c r="B73" s="730" t="str">
        <f>+CONCATENATE("* Grab strength, Puncture Strength and Trapezoidal Tear Strength minimum values based on requirements for ",Condition," geotextile with ",I61," (ASTM D6684 – Table 2).")</f>
        <v>* Grab strength, Puncture Strength and Trapezoidal Tear Strength minimum values based on requirements for Class 3 geotextile with Elongation &lt;50% (ASTM D6684 – Table 2).</v>
      </c>
      <c r="C73" s="730"/>
      <c r="D73" s="730"/>
      <c r="E73" s="730"/>
      <c r="F73" s="730"/>
      <c r="G73" s="730"/>
      <c r="H73" s="730"/>
      <c r="I73" s="730"/>
      <c r="J73" s="730"/>
      <c r="K73" s="730"/>
      <c r="M73" s="68"/>
    </row>
    <row r="74" spans="1:23" ht="14.25" customHeight="1">
      <c r="A74" s="162"/>
      <c r="B74" s="283" t="s">
        <v>257</v>
      </c>
      <c r="M74" s="68"/>
    </row>
    <row r="75" spans="1:23" ht="9.75" customHeight="1">
      <c r="A75" s="162"/>
      <c r="B75" s="283"/>
      <c r="M75" s="68"/>
    </row>
    <row r="76" spans="1:23" ht="14.25" customHeight="1">
      <c r="A76" s="637" t="s">
        <v>258</v>
      </c>
      <c r="B76" s="638"/>
      <c r="C76" s="638"/>
      <c r="D76" s="638"/>
      <c r="E76" s="638"/>
      <c r="F76" s="638"/>
      <c r="G76" s="638"/>
      <c r="H76" s="638"/>
      <c r="I76" s="638"/>
      <c r="J76" s="208"/>
      <c r="K76" s="208"/>
      <c r="L76" s="208"/>
      <c r="M76" s="209"/>
    </row>
    <row r="77" spans="1:23" ht="9.9499999999999993" customHeight="1">
      <c r="A77" s="284"/>
      <c r="B77" s="285"/>
      <c r="C77" s="285"/>
      <c r="D77" s="285"/>
      <c r="E77" s="285"/>
      <c r="F77" s="285"/>
      <c r="G77" s="285"/>
      <c r="H77" s="285"/>
      <c r="I77" s="285"/>
      <c r="M77" s="68"/>
    </row>
    <row r="78" spans="1:23">
      <c r="A78" s="248" t="s">
        <v>259</v>
      </c>
      <c r="B78" s="286"/>
      <c r="C78" s="286"/>
      <c r="F78" s="287" t="s">
        <v>260</v>
      </c>
      <c r="G78" s="287"/>
      <c r="H78" s="287"/>
      <c r="I78" s="287"/>
      <c r="M78" s="68"/>
    </row>
    <row r="79" spans="1:23" ht="9.75" customHeight="1">
      <c r="A79" s="720"/>
      <c r="B79" s="721"/>
      <c r="C79" s="721"/>
      <c r="D79" s="200"/>
      <c r="E79" s="200"/>
      <c r="F79" s="200"/>
      <c r="M79" s="68"/>
    </row>
    <row r="80" spans="1:23">
      <c r="A80" s="162"/>
      <c r="E80" s="288" t="s">
        <v>261</v>
      </c>
      <c r="F80" s="289" t="s">
        <v>262</v>
      </c>
      <c r="G80" s="297" t="s">
        <v>181</v>
      </c>
      <c r="I80" s="289" t="s">
        <v>263</v>
      </c>
      <c r="J80" s="729"/>
      <c r="K80" s="729"/>
      <c r="M80" s="68"/>
    </row>
    <row r="81" spans="1:13" ht="9.75" customHeight="1">
      <c r="A81" s="162"/>
      <c r="F81" s="225"/>
      <c r="G81" s="225"/>
      <c r="H81" s="200"/>
      <c r="I81" s="200"/>
      <c r="J81" s="200"/>
      <c r="M81" s="68"/>
    </row>
    <row r="82" spans="1:13" ht="16.5">
      <c r="A82" s="198" t="s">
        <v>264</v>
      </c>
      <c r="F82" s="727">
        <v>0.6</v>
      </c>
      <c r="G82" s="727"/>
      <c r="H82" s="200"/>
      <c r="I82" s="728"/>
      <c r="J82" s="728"/>
      <c r="K82" s="728"/>
      <c r="M82" s="68"/>
    </row>
    <row r="83" spans="1:13" ht="9.75" customHeight="1">
      <c r="A83" s="162"/>
      <c r="F83" s="225"/>
      <c r="G83" s="225"/>
      <c r="H83" s="200"/>
      <c r="I83" s="241"/>
      <c r="J83" s="241"/>
      <c r="K83" s="241"/>
      <c r="M83" s="68"/>
    </row>
    <row r="84" spans="1:13" ht="16.5">
      <c r="A84" s="198" t="s">
        <v>265</v>
      </c>
      <c r="F84" s="727">
        <v>0.4</v>
      </c>
      <c r="G84" s="727"/>
      <c r="H84" s="200"/>
      <c r="I84" s="728"/>
      <c r="J84" s="728"/>
      <c r="K84" s="728"/>
      <c r="M84" s="68"/>
    </row>
    <row r="85" spans="1:13" ht="10.5" customHeight="1">
      <c r="A85" s="162"/>
      <c r="F85" s="225"/>
      <c r="G85" s="225"/>
      <c r="H85" s="200"/>
      <c r="M85" s="68"/>
    </row>
    <row r="86" spans="1:13">
      <c r="A86" s="198" t="s">
        <v>266</v>
      </c>
      <c r="F86" s="727">
        <v>4</v>
      </c>
      <c r="G86" s="727"/>
      <c r="H86" s="200"/>
      <c r="I86" s="728"/>
      <c r="J86" s="728"/>
      <c r="K86" s="728"/>
      <c r="M86" s="68"/>
    </row>
    <row r="87" spans="1:13" ht="9.9499999999999993" customHeight="1">
      <c r="A87" s="198"/>
      <c r="F87" s="241"/>
      <c r="G87" s="241"/>
      <c r="H87" s="225"/>
      <c r="I87" s="241"/>
      <c r="J87" s="241"/>
      <c r="M87" s="68"/>
    </row>
    <row r="88" spans="1:13">
      <c r="A88" s="198" t="s">
        <v>267</v>
      </c>
      <c r="F88" s="727" t="s">
        <v>268</v>
      </c>
      <c r="G88" s="727"/>
      <c r="H88" s="225"/>
      <c r="I88" s="728"/>
      <c r="J88" s="728"/>
      <c r="K88" s="728"/>
      <c r="M88" s="68"/>
    </row>
    <row r="89" spans="1:13">
      <c r="A89" s="198" t="s">
        <v>269</v>
      </c>
      <c r="F89" s="225"/>
      <c r="G89" s="225"/>
      <c r="H89" s="200"/>
      <c r="I89" s="200"/>
      <c r="J89" s="200"/>
      <c r="M89" s="68"/>
    </row>
    <row r="90" spans="1:13" ht="16.5">
      <c r="A90" s="198" t="s">
        <v>270</v>
      </c>
      <c r="F90" s="727" t="s">
        <v>268</v>
      </c>
      <c r="G90" s="727"/>
      <c r="H90" s="200"/>
      <c r="I90" s="728"/>
      <c r="J90" s="728"/>
      <c r="K90" s="728"/>
      <c r="M90" s="68"/>
    </row>
    <row r="91" spans="1:13" s="293" customFormat="1" ht="18.95" thickBot="1">
      <c r="A91" s="290"/>
      <c r="B91" s="291"/>
      <c r="C91" s="291"/>
      <c r="D91" s="291"/>
      <c r="E91" s="291"/>
      <c r="F91" s="291"/>
      <c r="G91" s="291"/>
      <c r="H91" s="291"/>
      <c r="I91" s="291"/>
      <c r="J91" s="291"/>
      <c r="K91" s="291"/>
      <c r="L91" s="291"/>
      <c r="M91" s="292"/>
    </row>
  </sheetData>
  <sheetProtection algorithmName="SHA-512" hashValue="/fS8fPLYFH/OkB0eUvWV5FH2uspjioGW5uwebKqcxTjNzvyC7JMXVCK1EPauOAF3BWVRmPORyU+M5T4LZtL/uA==" saltValue="81PIko1Q9X5wa/vsbZFLsg==" spinCount="100000" sheet="1" selectLockedCells="1"/>
  <mergeCells count="91">
    <mergeCell ref="A76:I76"/>
    <mergeCell ref="C4:D4"/>
    <mergeCell ref="A7:M7"/>
    <mergeCell ref="A9:G9"/>
    <mergeCell ref="D14:E14"/>
    <mergeCell ref="A22:I22"/>
    <mergeCell ref="K28:K29"/>
    <mergeCell ref="L28:L29"/>
    <mergeCell ref="B23:C23"/>
    <mergeCell ref="H24:I24"/>
    <mergeCell ref="H25:I25"/>
    <mergeCell ref="H26:I26"/>
    <mergeCell ref="H27:I27"/>
    <mergeCell ref="J24:K24"/>
    <mergeCell ref="J25:K25"/>
    <mergeCell ref="J26:K26"/>
    <mergeCell ref="H23:L23"/>
    <mergeCell ref="A28:A29"/>
    <mergeCell ref="C28:C29"/>
    <mergeCell ref="E28:E29"/>
    <mergeCell ref="F28:F29"/>
    <mergeCell ref="I28:I29"/>
    <mergeCell ref="E34:M34"/>
    <mergeCell ref="A31:I31"/>
    <mergeCell ref="B62:C62"/>
    <mergeCell ref="D62:K62"/>
    <mergeCell ref="F44:I44"/>
    <mergeCell ref="A48:F48"/>
    <mergeCell ref="A49:F49"/>
    <mergeCell ref="A50:F50"/>
    <mergeCell ref="A51:F51"/>
    <mergeCell ref="A53:F53"/>
    <mergeCell ref="B63:C63"/>
    <mergeCell ref="D63:F63"/>
    <mergeCell ref="G63:H63"/>
    <mergeCell ref="I63:K63"/>
    <mergeCell ref="B64:C64"/>
    <mergeCell ref="D64:E64"/>
    <mergeCell ref="J64:K64"/>
    <mergeCell ref="B65:C65"/>
    <mergeCell ref="D65:E65"/>
    <mergeCell ref="J65:K65"/>
    <mergeCell ref="B66:C66"/>
    <mergeCell ref="D66:E66"/>
    <mergeCell ref="J66:K66"/>
    <mergeCell ref="B67:C67"/>
    <mergeCell ref="D67:E67"/>
    <mergeCell ref="J67:K67"/>
    <mergeCell ref="B68:C68"/>
    <mergeCell ref="D68:E68"/>
    <mergeCell ref="J68:K68"/>
    <mergeCell ref="B73:K73"/>
    <mergeCell ref="B69:C69"/>
    <mergeCell ref="D69:E69"/>
    <mergeCell ref="J69:K69"/>
    <mergeCell ref="B70:C70"/>
    <mergeCell ref="D70:E70"/>
    <mergeCell ref="J70:K70"/>
    <mergeCell ref="D71:E71"/>
    <mergeCell ref="J71:K71"/>
    <mergeCell ref="B72:C72"/>
    <mergeCell ref="D72:E72"/>
    <mergeCell ref="J72:K72"/>
    <mergeCell ref="A79:C79"/>
    <mergeCell ref="J80:K80"/>
    <mergeCell ref="F82:G82"/>
    <mergeCell ref="I82:K82"/>
    <mergeCell ref="F84:G84"/>
    <mergeCell ref="I84:K84"/>
    <mergeCell ref="F86:G86"/>
    <mergeCell ref="I86:K86"/>
    <mergeCell ref="F88:G88"/>
    <mergeCell ref="I88:K88"/>
    <mergeCell ref="F90:G90"/>
    <mergeCell ref="I90:K90"/>
    <mergeCell ref="O61:W61"/>
    <mergeCell ref="G54:I54"/>
    <mergeCell ref="A18:I18"/>
    <mergeCell ref="A16:G16"/>
    <mergeCell ref="A38:I38"/>
    <mergeCell ref="A59:I59"/>
    <mergeCell ref="A40:E40"/>
    <mergeCell ref="D61:F61"/>
    <mergeCell ref="I61:J61"/>
    <mergeCell ref="E36:G36"/>
    <mergeCell ref="A39:C39"/>
    <mergeCell ref="F39:F40"/>
    <mergeCell ref="H39:H40"/>
    <mergeCell ref="J39:J40"/>
    <mergeCell ref="K39:K40"/>
    <mergeCell ref="A34:C34"/>
  </mergeCells>
  <dataValidations count="2">
    <dataValidation type="list" allowBlank="1" showInputMessage="1" showErrorMessage="1" sqref="I61" xr:uid="{00000000-0002-0000-0600-000000000000}">
      <formula1>$R$63:$S$63</formula1>
    </dataValidation>
    <dataValidation type="list" errorStyle="information" allowBlank="1" showInputMessage="1" showErrorMessage="1" promptTitle="Flow Direction" sqref="D61:F61" xr:uid="{00000000-0002-0000-0600-000001000000}">
      <formula1>$R$62:$W$62</formula1>
    </dataValidation>
  </dataValidations>
  <printOptions horizontalCentered="1"/>
  <pageMargins left="0.7" right="0.7" top="0.75" bottom="0.75" header="0.3" footer="0.3"/>
  <pageSetup scale="87" fitToHeight="0" orientation="portrait" r:id="rId1"/>
  <headerFooter>
    <oddFooter>&amp;RRevision 1/Date 3/2020</oddFooter>
  </headerFooter>
  <rowBreaks count="1" manualBreakCount="1">
    <brk id="47" max="12"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M72"/>
  <sheetViews>
    <sheetView topLeftCell="A19" zoomScale="60" zoomScaleNormal="60" workbookViewId="0">
      <selection activeCell="A4" sqref="A4:L11"/>
    </sheetView>
  </sheetViews>
  <sheetFormatPr defaultColWidth="9.140625" defaultRowHeight="14.45"/>
  <cols>
    <col min="1" max="10" width="10.7109375" style="444" customWidth="1"/>
    <col min="11" max="11" width="9.42578125" style="444" customWidth="1"/>
    <col min="12" max="12" width="10.7109375" style="444" customWidth="1"/>
    <col min="13" max="13" width="20.7109375" style="444" customWidth="1"/>
  </cols>
  <sheetData>
    <row r="1" spans="1:13" ht="30.6" customHeight="1">
      <c r="A1" s="415" t="str">
        <f>+'0. Project Details'!A7</f>
        <v>Project Name/Number:</v>
      </c>
      <c r="B1" s="416"/>
      <c r="C1" s="417" t="str">
        <f>CONCATENATE('0. Project Details'!G5," / ", '0. Project Details'!B7)</f>
        <v xml:space="preserve">Meandering River / </v>
      </c>
      <c r="D1" s="418"/>
      <c r="E1" s="419"/>
      <c r="F1" s="420"/>
      <c r="G1" s="828"/>
      <c r="H1" s="829"/>
      <c r="I1" s="829"/>
      <c r="J1" s="829"/>
      <c r="K1" s="829"/>
      <c r="L1" s="830"/>
      <c r="M1" s="421"/>
    </row>
    <row r="2" spans="1:13" ht="30.6" customHeight="1">
      <c r="A2" s="422" t="str">
        <f>+'0. Project Details'!A5</f>
        <v>Company:</v>
      </c>
      <c r="B2" s="423"/>
      <c r="C2" s="424" t="str">
        <f>+'0. Project Details'!B5</f>
        <v xml:space="preserve"> Consultant</v>
      </c>
      <c r="D2" s="425"/>
      <c r="E2" s="426"/>
      <c r="F2" s="427"/>
      <c r="G2" s="428"/>
      <c r="H2" s="429"/>
      <c r="I2" s="429"/>
      <c r="J2" s="429"/>
      <c r="K2" s="429"/>
      <c r="L2" s="430"/>
      <c r="M2" s="421"/>
    </row>
    <row r="3" spans="1:13" ht="30.6" customHeight="1">
      <c r="A3" s="422" t="str">
        <f>+'0. Project Details'!A6</f>
        <v>Designer:</v>
      </c>
      <c r="B3" s="423"/>
      <c r="C3" s="431" t="str">
        <f>+'0. Project Details'!B6</f>
        <v>John Doe</v>
      </c>
      <c r="D3" s="425"/>
      <c r="E3" s="426"/>
      <c r="F3" s="427"/>
      <c r="G3" s="428"/>
      <c r="H3" s="429"/>
      <c r="I3" s="429"/>
      <c r="J3" s="429"/>
      <c r="K3" s="429"/>
      <c r="L3" s="430"/>
      <c r="M3" s="421"/>
    </row>
    <row r="4" spans="1:13" ht="30.6" customHeight="1">
      <c r="A4" s="422" t="str">
        <f>+'0. Project Details'!F6</f>
        <v>Date:</v>
      </c>
      <c r="B4" s="423"/>
      <c r="C4" s="432">
        <f>+'0. Project Details'!G6</f>
        <v>0</v>
      </c>
      <c r="D4" s="433"/>
      <c r="E4" s="426"/>
      <c r="F4" s="427"/>
      <c r="G4" s="428"/>
      <c r="H4" s="429"/>
      <c r="I4" s="429"/>
      <c r="J4" s="429"/>
      <c r="K4" s="429"/>
      <c r="L4" s="430"/>
      <c r="M4" s="421"/>
    </row>
    <row r="5" spans="1:13" ht="30.6" customHeight="1" thickBot="1">
      <c r="A5" s="51" t="s">
        <v>27</v>
      </c>
      <c r="B5" s="434"/>
      <c r="C5" s="153">
        <f>+'0. Project Details'!B8</f>
        <v>0</v>
      </c>
      <c r="D5" s="434"/>
      <c r="E5" s="434"/>
      <c r="F5" s="435"/>
      <c r="G5" s="436"/>
      <c r="H5" s="437"/>
      <c r="I5" s="437"/>
      <c r="J5" s="437"/>
      <c r="K5" s="437"/>
      <c r="L5" s="438"/>
      <c r="M5" s="421"/>
    </row>
    <row r="6" spans="1:13" ht="19.350000000000001" customHeight="1">
      <c r="A6" s="831"/>
      <c r="B6" s="832"/>
      <c r="C6" s="832"/>
      <c r="D6" s="832"/>
      <c r="E6" s="832"/>
      <c r="F6" s="832"/>
      <c r="G6" s="832"/>
      <c r="H6" s="832"/>
      <c r="I6" s="832"/>
      <c r="J6" s="832"/>
      <c r="K6" s="832"/>
      <c r="L6" s="833"/>
      <c r="M6" s="421"/>
    </row>
    <row r="7" spans="1:13" ht="23.45">
      <c r="A7" s="834" t="s">
        <v>271</v>
      </c>
      <c r="B7" s="835"/>
      <c r="C7" s="835"/>
      <c r="D7" s="835"/>
      <c r="E7" s="835"/>
      <c r="F7" s="835"/>
      <c r="G7" s="835"/>
      <c r="H7" s="835"/>
      <c r="I7" s="835"/>
      <c r="J7" s="835"/>
      <c r="K7" s="835"/>
      <c r="L7" s="836"/>
      <c r="M7" s="421"/>
    </row>
    <row r="8" spans="1:13" ht="15" thickBot="1">
      <c r="A8" s="837"/>
      <c r="B8" s="802"/>
      <c r="C8" s="802"/>
      <c r="D8" s="802"/>
      <c r="E8" s="802"/>
      <c r="F8" s="802"/>
      <c r="G8" s="802"/>
      <c r="H8" s="802"/>
      <c r="I8" s="802"/>
      <c r="J8" s="802"/>
      <c r="K8" s="802"/>
      <c r="L8" s="804"/>
      <c r="M8" s="421"/>
    </row>
    <row r="9" spans="1:13">
      <c r="A9" s="589" t="s">
        <v>47</v>
      </c>
      <c r="B9" s="590"/>
      <c r="C9" s="590"/>
      <c r="D9" s="590"/>
      <c r="E9" s="590"/>
      <c r="F9" s="590"/>
      <c r="G9" s="590"/>
      <c r="H9" s="590"/>
      <c r="I9" s="439"/>
      <c r="J9" s="440"/>
      <c r="K9" s="440"/>
      <c r="L9" s="441"/>
      <c r="M9" s="421"/>
    </row>
    <row r="10" spans="1:13" ht="16.5">
      <c r="A10" s="785" t="s">
        <v>48</v>
      </c>
      <c r="B10" s="786"/>
      <c r="C10" s="786"/>
      <c r="D10" s="786"/>
      <c r="E10" s="786"/>
      <c r="F10" s="786"/>
      <c r="G10" s="786"/>
      <c r="H10" s="442">
        <f>IF('0. Project Details'!E30="","",'0. Project Details'!E30)</f>
        <v>7.2</v>
      </c>
      <c r="I10" s="339"/>
      <c r="J10" s="340"/>
      <c r="K10" s="340"/>
      <c r="L10" s="341"/>
      <c r="M10" s="421"/>
    </row>
    <row r="11" spans="1:13">
      <c r="A11" s="807" t="s">
        <v>49</v>
      </c>
      <c r="B11" s="808"/>
      <c r="C11" s="808"/>
      <c r="D11" s="808"/>
      <c r="E11" s="808"/>
      <c r="F11" s="808"/>
      <c r="G11" s="808"/>
      <c r="H11" s="442">
        <f>IF('0. Project Details'!E30="","",'0. Project Details'!E31)</f>
        <v>11.4</v>
      </c>
      <c r="I11" s="342"/>
      <c r="J11" s="343"/>
      <c r="K11" s="343"/>
      <c r="L11" s="344"/>
      <c r="M11" s="421"/>
    </row>
    <row r="12" spans="1:13">
      <c r="A12" s="807" t="s">
        <v>50</v>
      </c>
      <c r="B12" s="808"/>
      <c r="C12" s="808"/>
      <c r="D12" s="808"/>
      <c r="E12" s="808"/>
      <c r="F12" s="808"/>
      <c r="G12" s="808"/>
      <c r="H12" s="442" t="str">
        <f>IF('0. Project Details'!E30="","",'0. Project Details'!E32)</f>
        <v>R</v>
      </c>
      <c r="I12" s="345"/>
      <c r="J12" s="815" t="s">
        <v>52</v>
      </c>
      <c r="K12" s="815"/>
      <c r="L12" s="816"/>
    </row>
    <row r="13" spans="1:13">
      <c r="A13" s="807" t="s">
        <v>53</v>
      </c>
      <c r="B13" s="808"/>
      <c r="C13" s="808"/>
      <c r="D13" s="808"/>
      <c r="E13" s="808"/>
      <c r="F13" s="808"/>
      <c r="G13" s="808"/>
      <c r="H13" s="442">
        <f>IF('0. Project Details'!E30="","",'0. Project Details'!E33)</f>
        <v>1.2</v>
      </c>
      <c r="I13" s="346"/>
      <c r="J13" s="347"/>
      <c r="K13" s="348"/>
      <c r="L13" s="349"/>
    </row>
    <row r="14" spans="1:13">
      <c r="A14" s="817" t="s">
        <v>54</v>
      </c>
      <c r="B14" s="818"/>
      <c r="C14" s="818"/>
      <c r="D14" s="818"/>
      <c r="E14" s="818"/>
      <c r="F14" s="818"/>
      <c r="G14" s="818"/>
      <c r="H14" s="442">
        <f>IF('0. Project Details'!E30="","",'0. Project Details'!E34)</f>
        <v>50</v>
      </c>
      <c r="I14" s="23">
        <f>(ATAN(H14/100))*180/PI()</f>
        <v>26.56505117707799</v>
      </c>
      <c r="J14" s="24" t="s">
        <v>55</v>
      </c>
      <c r="K14" s="25">
        <f>ATAN(H14/100)</f>
        <v>0.46364760900080609</v>
      </c>
      <c r="L14" s="26" t="s">
        <v>56</v>
      </c>
      <c r="M14" s="445"/>
    </row>
    <row r="15" spans="1:13" ht="16.5">
      <c r="A15" s="817" t="s">
        <v>57</v>
      </c>
      <c r="B15" s="818"/>
      <c r="C15" s="818"/>
      <c r="D15" s="818"/>
      <c r="E15" s="818"/>
      <c r="F15" s="818"/>
      <c r="G15" s="818"/>
      <c r="H15" s="446">
        <f>IF('0. Project Details'!E30="","",'0. Project Details'!E35)</f>
        <v>62.4</v>
      </c>
      <c r="I15" s="819" t="s">
        <v>58</v>
      </c>
      <c r="J15" s="820"/>
      <c r="K15" s="820"/>
      <c r="L15" s="821"/>
      <c r="M15" s="445"/>
    </row>
    <row r="16" spans="1:13" ht="17.100000000000001" thickBot="1">
      <c r="A16" s="825" t="s">
        <v>59</v>
      </c>
      <c r="B16" s="826"/>
      <c r="C16" s="826"/>
      <c r="D16" s="826"/>
      <c r="E16" s="826"/>
      <c r="F16" s="826"/>
      <c r="G16" s="826"/>
      <c r="H16" s="447">
        <f>IF('0. Project Details'!E30="","",'0. Project Details'!E36)</f>
        <v>158.5</v>
      </c>
      <c r="I16" s="822"/>
      <c r="J16" s="823"/>
      <c r="K16" s="823"/>
      <c r="L16" s="824"/>
      <c r="M16" s="445"/>
    </row>
    <row r="17" spans="1:13">
      <c r="A17" s="581"/>
      <c r="B17" s="582"/>
      <c r="C17" s="582"/>
      <c r="D17" s="582"/>
      <c r="E17" s="582"/>
      <c r="F17" s="582"/>
      <c r="G17" s="582"/>
      <c r="H17" s="350"/>
      <c r="I17" s="340"/>
      <c r="J17" s="340"/>
      <c r="K17" s="340"/>
      <c r="L17" s="341"/>
      <c r="M17" s="445"/>
    </row>
    <row r="18" spans="1:13" ht="15" thickBot="1">
      <c r="A18" s="827"/>
      <c r="B18" s="801"/>
      <c r="C18" s="801"/>
      <c r="D18" s="801"/>
      <c r="E18" s="801"/>
      <c r="F18" s="801"/>
      <c r="G18" s="801"/>
      <c r="H18" s="351"/>
      <c r="I18" s="351"/>
      <c r="J18" s="351"/>
      <c r="K18" s="351"/>
      <c r="L18" s="352"/>
    </row>
    <row r="19" spans="1:13">
      <c r="A19" s="812" t="s">
        <v>60</v>
      </c>
      <c r="B19" s="813"/>
      <c r="C19" s="813"/>
      <c r="D19" s="813"/>
      <c r="E19" s="813"/>
      <c r="F19" s="813"/>
      <c r="G19" s="813"/>
      <c r="H19" s="814"/>
      <c r="I19" s="448"/>
      <c r="J19" s="449"/>
      <c r="K19" s="449"/>
      <c r="L19" s="450"/>
    </row>
    <row r="20" spans="1:13">
      <c r="A20" s="807" t="s">
        <v>61</v>
      </c>
      <c r="B20" s="861"/>
      <c r="C20" s="861"/>
      <c r="D20" s="861"/>
      <c r="E20" s="861"/>
      <c r="F20" s="861"/>
      <c r="G20" s="861"/>
      <c r="H20" s="809" t="str">
        <f>+IF('0. Project Details'!E30="","",'0. Project Details'!E40)</f>
        <v>B</v>
      </c>
      <c r="I20" s="810"/>
      <c r="J20" s="548" t="s">
        <v>63</v>
      </c>
      <c r="K20" s="548"/>
      <c r="L20" s="549"/>
    </row>
    <row r="21" spans="1:13">
      <c r="A21" s="807" t="s">
        <v>64</v>
      </c>
      <c r="B21" s="808"/>
      <c r="C21" s="808"/>
      <c r="D21" s="808"/>
      <c r="E21" s="808"/>
      <c r="F21" s="808"/>
      <c r="G21" s="808"/>
      <c r="H21" s="809"/>
      <c r="I21" s="811"/>
      <c r="J21" s="550"/>
      <c r="K21" s="550"/>
      <c r="L21" s="551"/>
    </row>
    <row r="22" spans="1:13">
      <c r="A22" s="805"/>
      <c r="B22" s="806"/>
      <c r="C22" s="806"/>
      <c r="D22" s="806"/>
      <c r="E22" s="806"/>
      <c r="F22" s="806"/>
      <c r="G22" s="806"/>
      <c r="H22" s="451"/>
      <c r="I22" s="339"/>
      <c r="J22" s="340"/>
      <c r="K22" s="340"/>
      <c r="L22" s="341"/>
    </row>
    <row r="23" spans="1:13">
      <c r="A23" s="807" t="s">
        <v>65</v>
      </c>
      <c r="B23" s="808"/>
      <c r="C23" s="808"/>
      <c r="D23" s="808"/>
      <c r="E23" s="808"/>
      <c r="F23" s="808"/>
      <c r="G23" s="808"/>
      <c r="H23" s="451"/>
      <c r="I23" s="339"/>
      <c r="J23" s="340"/>
      <c r="K23" s="340"/>
      <c r="L23" s="341"/>
    </row>
    <row r="24" spans="1:13">
      <c r="A24" s="807" t="s">
        <v>66</v>
      </c>
      <c r="B24" s="808"/>
      <c r="C24" s="808"/>
      <c r="D24" s="808"/>
      <c r="E24" s="808"/>
      <c r="F24" s="808"/>
      <c r="G24" s="808"/>
      <c r="H24" s="452">
        <f>+IF('0. Project Details'!E30="","",'0. Project Details'!E44)</f>
        <v>500</v>
      </c>
      <c r="I24" s="339"/>
      <c r="J24" s="340"/>
      <c r="K24" s="340"/>
      <c r="L24" s="341"/>
    </row>
    <row r="25" spans="1:13" ht="15" thickBot="1">
      <c r="A25" s="787" t="s">
        <v>67</v>
      </c>
      <c r="B25" s="788"/>
      <c r="C25" s="788"/>
      <c r="D25" s="788"/>
      <c r="E25" s="788"/>
      <c r="F25" s="788"/>
      <c r="G25" s="788"/>
      <c r="H25" s="453">
        <f>IF('0. Project Details'!E30="","",'0. Project Details'!E45)</f>
        <v>100</v>
      </c>
      <c r="I25" s="358"/>
      <c r="J25" s="454"/>
      <c r="K25" s="454"/>
      <c r="L25" s="455"/>
    </row>
    <row r="26" spans="1:13">
      <c r="A26" s="552"/>
      <c r="B26" s="553"/>
      <c r="C26" s="553"/>
      <c r="D26" s="553"/>
      <c r="E26" s="553"/>
      <c r="F26" s="553"/>
      <c r="G26" s="553"/>
      <c r="H26" s="340"/>
      <c r="I26" s="340"/>
      <c r="J26" s="340"/>
      <c r="K26" s="340"/>
      <c r="L26" s="341"/>
    </row>
    <row r="27" spans="1:13" ht="15" thickBot="1">
      <c r="A27" s="552"/>
      <c r="B27" s="553"/>
      <c r="C27" s="553"/>
      <c r="D27" s="553"/>
      <c r="E27" s="553"/>
      <c r="F27" s="553"/>
      <c r="G27" s="553"/>
      <c r="H27" s="340"/>
      <c r="I27" s="340"/>
      <c r="J27" s="456"/>
      <c r="K27" s="457"/>
      <c r="L27" s="458"/>
    </row>
    <row r="28" spans="1:13">
      <c r="A28" s="528" t="s">
        <v>68</v>
      </c>
      <c r="B28" s="529"/>
      <c r="C28" s="529"/>
      <c r="D28" s="529"/>
      <c r="E28" s="529"/>
      <c r="F28" s="529"/>
      <c r="G28" s="529"/>
      <c r="H28" s="529"/>
      <c r="I28" s="459"/>
      <c r="J28" s="460"/>
      <c r="K28" s="460"/>
      <c r="L28" s="461"/>
    </row>
    <row r="29" spans="1:13">
      <c r="A29" s="776" t="s">
        <v>69</v>
      </c>
      <c r="B29" s="795"/>
      <c r="C29" s="795"/>
      <c r="D29" s="795"/>
      <c r="E29" s="795"/>
      <c r="F29" s="795"/>
      <c r="G29" s="795"/>
      <c r="H29" s="799" t="str">
        <f>IF('0. Project Details'!E30="","",'0. Project Details'!E49)</f>
        <v>N2</v>
      </c>
      <c r="I29" s="801"/>
      <c r="J29" s="801" t="s">
        <v>71</v>
      </c>
      <c r="K29" s="801"/>
      <c r="L29" s="803"/>
    </row>
    <row r="30" spans="1:13" ht="17.100000000000001" thickBot="1">
      <c r="A30" s="862" t="s">
        <v>72</v>
      </c>
      <c r="B30" s="863"/>
      <c r="C30" s="863"/>
      <c r="D30" s="863"/>
      <c r="E30" s="863"/>
      <c r="F30" s="863"/>
      <c r="G30" s="863"/>
      <c r="H30" s="800"/>
      <c r="I30" s="802"/>
      <c r="J30" s="802"/>
      <c r="K30" s="802"/>
      <c r="L30" s="804"/>
    </row>
    <row r="31" spans="1:13">
      <c r="A31" s="552"/>
      <c r="B31" s="553"/>
      <c r="C31" s="553"/>
      <c r="D31" s="553"/>
      <c r="E31" s="553"/>
      <c r="F31" s="553"/>
      <c r="G31" s="553"/>
      <c r="H31" s="366"/>
      <c r="I31" s="366"/>
      <c r="J31" s="367"/>
      <c r="K31" s="367"/>
      <c r="L31" s="341"/>
    </row>
    <row r="32" spans="1:13" ht="15" thickBot="1">
      <c r="A32" s="552"/>
      <c r="B32" s="553"/>
      <c r="C32" s="553"/>
      <c r="D32" s="553"/>
      <c r="E32" s="553"/>
      <c r="F32" s="553"/>
      <c r="G32" s="553"/>
      <c r="H32" s="366"/>
      <c r="I32" s="366"/>
      <c r="J32" s="367"/>
      <c r="K32" s="367"/>
      <c r="L32" s="341"/>
    </row>
    <row r="33" spans="1:13">
      <c r="A33" s="528" t="s">
        <v>272</v>
      </c>
      <c r="B33" s="529"/>
      <c r="C33" s="529"/>
      <c r="D33" s="529"/>
      <c r="E33" s="529"/>
      <c r="F33" s="529"/>
      <c r="G33" s="529"/>
      <c r="H33" s="529"/>
      <c r="I33" s="465"/>
      <c r="J33" s="466"/>
      <c r="K33" s="466"/>
      <c r="L33" s="467"/>
    </row>
    <row r="34" spans="1:13">
      <c r="A34" s="805" t="s">
        <v>273</v>
      </c>
      <c r="B34" s="806"/>
      <c r="C34" s="806"/>
      <c r="D34" s="806"/>
      <c r="E34" s="806"/>
      <c r="F34" s="806"/>
      <c r="G34" s="806"/>
      <c r="H34" s="27">
        <f>IF(H12="A",0.3,IF(H12="R",0.375,"error H8"))</f>
        <v>0.375</v>
      </c>
      <c r="I34" s="350"/>
      <c r="J34" s="350"/>
      <c r="K34" s="350"/>
      <c r="L34" s="341"/>
    </row>
    <row r="35" spans="1:13">
      <c r="A35" s="807" t="s">
        <v>274</v>
      </c>
      <c r="B35" s="808"/>
      <c r="C35" s="808"/>
      <c r="D35" s="808"/>
      <c r="E35" s="808"/>
      <c r="F35" s="808"/>
      <c r="G35" s="808"/>
      <c r="H35" s="28">
        <f>IF(H20="S",1,IF(H20="D",1.25,IF(H20="E",1.25,IF(H20="B",(1.283-0.2*LOG((H24/H25))),"error H16"))))</f>
        <v>1.1432059991327961</v>
      </c>
      <c r="I35" s="350"/>
      <c r="J35" s="350"/>
      <c r="K35" s="350"/>
      <c r="L35" s="341"/>
    </row>
    <row r="36" spans="1:13">
      <c r="A36" s="807" t="s">
        <v>275</v>
      </c>
      <c r="B36" s="808"/>
      <c r="C36" s="808"/>
      <c r="D36" s="808"/>
      <c r="E36" s="808"/>
      <c r="F36" s="808"/>
      <c r="G36" s="808"/>
      <c r="H36" s="28">
        <f>IF(H29="n1",H10,IF(H29="n2",(H10*(1.74-0.52*LOG(H24/H25))),IF(H29="t1",H10,IF(H29="t2",(H10*(1.71-0.78*LOG(H24/H25))),"input error"))))</f>
        <v>9.911056303765946</v>
      </c>
      <c r="I36" s="350"/>
      <c r="J36" s="350"/>
      <c r="K36" s="350"/>
      <c r="L36" s="468"/>
    </row>
    <row r="37" spans="1:13" ht="15" thickBot="1">
      <c r="A37" s="797" t="s">
        <v>276</v>
      </c>
      <c r="B37" s="798"/>
      <c r="C37" s="798"/>
      <c r="D37" s="798"/>
      <c r="E37" s="798"/>
      <c r="F37" s="798"/>
      <c r="G37" s="798"/>
      <c r="H37" s="29">
        <f>SQRT(1-(SIN(RADIANS(I14)-RADIANS(14))/(SIN(RADIANS(32))))^1.6)</f>
        <v>0.87141756075613508</v>
      </c>
      <c r="I37" s="454"/>
      <c r="J37" s="454"/>
      <c r="K37" s="454"/>
      <c r="L37" s="455"/>
    </row>
    <row r="38" spans="1:13">
      <c r="A38" s="552"/>
      <c r="B38" s="553"/>
      <c r="C38" s="553"/>
      <c r="D38" s="553"/>
      <c r="E38" s="553"/>
      <c r="F38" s="553"/>
      <c r="G38" s="553"/>
      <c r="H38" s="340"/>
      <c r="I38" s="340"/>
      <c r="J38" s="340"/>
      <c r="K38" s="340"/>
      <c r="L38" s="341"/>
    </row>
    <row r="39" spans="1:13" ht="15" thickBot="1">
      <c r="A39" s="783"/>
      <c r="B39" s="784"/>
      <c r="C39" s="784"/>
      <c r="D39" s="784"/>
      <c r="E39" s="784"/>
      <c r="F39" s="784"/>
      <c r="G39" s="784"/>
      <c r="H39" s="340"/>
      <c r="I39" s="340"/>
      <c r="J39" s="340"/>
      <c r="K39" s="340"/>
      <c r="L39" s="341"/>
    </row>
    <row r="40" spans="1:13">
      <c r="A40" s="589" t="s">
        <v>277</v>
      </c>
      <c r="B40" s="590"/>
      <c r="C40" s="590"/>
      <c r="D40" s="590"/>
      <c r="E40" s="590"/>
      <c r="F40" s="590"/>
      <c r="G40" s="590"/>
      <c r="H40" s="590"/>
      <c r="I40" s="469"/>
      <c r="J40" s="470"/>
      <c r="K40" s="470"/>
      <c r="L40" s="471"/>
      <c r="M40" s="472"/>
    </row>
    <row r="41" spans="1:13" ht="16.5">
      <c r="A41" s="785" t="s">
        <v>278</v>
      </c>
      <c r="B41" s="786"/>
      <c r="C41" s="786"/>
      <c r="D41" s="786"/>
      <c r="E41" s="786"/>
      <c r="F41" s="786"/>
      <c r="G41" s="786"/>
      <c r="H41" s="30">
        <f>12*H11*(H13*H34*H35*1)*((H36)/(SQRT(H37*(H16/H15-1)*32.2*H11)))^2.5</f>
        <v>9.3770380560301927</v>
      </c>
      <c r="I41" s="473"/>
      <c r="J41" s="473"/>
      <c r="K41" s="473"/>
      <c r="L41" s="474"/>
      <c r="M41" s="472"/>
    </row>
    <row r="42" spans="1:13" ht="15.6" thickBot="1">
      <c r="A42" s="787" t="s">
        <v>279</v>
      </c>
      <c r="B42" s="788"/>
      <c r="C42" s="788"/>
      <c r="D42" s="788"/>
      <c r="E42" s="788"/>
      <c r="F42" s="788"/>
      <c r="G42" s="788"/>
      <c r="H42" s="31">
        <f>1.2*H41</f>
        <v>11.252445667236231</v>
      </c>
      <c r="I42" s="789" t="s">
        <v>280</v>
      </c>
      <c r="J42" s="790"/>
      <c r="K42" s="790"/>
      <c r="L42" s="791"/>
    </row>
    <row r="43" spans="1:13">
      <c r="A43" s="792"/>
      <c r="B43" s="793"/>
      <c r="C43" s="793"/>
      <c r="D43" s="793"/>
      <c r="E43" s="793"/>
      <c r="F43" s="793"/>
      <c r="G43" s="793"/>
      <c r="H43" s="793"/>
      <c r="I43" s="793"/>
      <c r="J43" s="793"/>
      <c r="K43" s="793"/>
      <c r="L43" s="794"/>
    </row>
    <row r="44" spans="1:13">
      <c r="A44" s="776" t="s">
        <v>281</v>
      </c>
      <c r="B44" s="795"/>
      <c r="C44" s="795"/>
      <c r="D44" s="795"/>
      <c r="E44" s="795"/>
      <c r="F44" s="795"/>
      <c r="G44" s="795"/>
      <c r="H44" s="795"/>
      <c r="I44" s="795"/>
      <c r="J44" s="795"/>
      <c r="K44" s="795"/>
      <c r="L44" s="796"/>
    </row>
    <row r="45" spans="1:13">
      <c r="A45" s="776"/>
      <c r="B45" s="795"/>
      <c r="C45" s="795"/>
      <c r="D45" s="795"/>
      <c r="E45" s="795"/>
      <c r="F45" s="795"/>
      <c r="G45" s="795"/>
      <c r="H45" s="795"/>
      <c r="I45" s="795"/>
      <c r="J45" s="795"/>
      <c r="K45" s="795"/>
      <c r="L45" s="796"/>
    </row>
    <row r="46" spans="1:13">
      <c r="A46" s="776" t="s">
        <v>282</v>
      </c>
      <c r="B46" s="795"/>
      <c r="C46" s="795"/>
      <c r="D46" s="795"/>
      <c r="E46" s="795"/>
      <c r="F46" s="795"/>
      <c r="G46" s="795"/>
      <c r="H46" s="795"/>
      <c r="I46" s="795"/>
      <c r="J46" s="795"/>
      <c r="K46" s="795"/>
      <c r="L46" s="796"/>
    </row>
    <row r="47" spans="1:13">
      <c r="A47" s="776" t="s">
        <v>283</v>
      </c>
      <c r="B47" s="795"/>
      <c r="C47" s="795"/>
      <c r="D47" s="795"/>
      <c r="E47" s="795"/>
      <c r="F47" s="795"/>
      <c r="G47" s="795"/>
      <c r="H47" s="795"/>
      <c r="I47" s="795"/>
      <c r="J47" s="795"/>
      <c r="K47" s="795"/>
      <c r="L47" s="796"/>
    </row>
    <row r="48" spans="1:13">
      <c r="A48" s="782"/>
      <c r="B48" s="777"/>
      <c r="C48" s="777"/>
      <c r="D48" s="777"/>
      <c r="E48" s="777"/>
      <c r="F48" s="777"/>
      <c r="G48" s="777"/>
      <c r="H48" s="777"/>
      <c r="I48" s="777"/>
      <c r="J48" s="777"/>
      <c r="K48" s="777"/>
      <c r="L48" s="778"/>
    </row>
    <row r="49" spans="1:12">
      <c r="A49" s="776" t="s">
        <v>284</v>
      </c>
      <c r="B49" s="777"/>
      <c r="C49" s="777"/>
      <c r="D49" s="777"/>
      <c r="E49" s="777"/>
      <c r="F49" s="777"/>
      <c r="G49" s="777"/>
      <c r="H49" s="777"/>
      <c r="I49" s="777"/>
      <c r="J49" s="777"/>
      <c r="K49" s="777"/>
      <c r="L49" s="778"/>
    </row>
    <row r="50" spans="1:12">
      <c r="A50" s="552" t="s">
        <v>285</v>
      </c>
      <c r="B50" s="553"/>
      <c r="C50" s="553"/>
      <c r="D50" s="553"/>
      <c r="E50" s="553"/>
      <c r="F50" s="553"/>
      <c r="G50" s="553"/>
      <c r="H50" s="553"/>
      <c r="I50" s="553"/>
      <c r="J50" s="553"/>
      <c r="K50" s="553"/>
      <c r="L50" s="558"/>
    </row>
    <row r="51" spans="1:12">
      <c r="A51" s="779"/>
      <c r="B51" s="780"/>
      <c r="C51" s="780"/>
      <c r="D51" s="780"/>
      <c r="E51" s="780"/>
      <c r="F51" s="780"/>
      <c r="G51" s="780"/>
      <c r="H51" s="780"/>
      <c r="I51" s="780"/>
      <c r="J51" s="780"/>
      <c r="K51" s="780"/>
      <c r="L51" s="781"/>
    </row>
    <row r="52" spans="1:12">
      <c r="A52" s="864" t="s">
        <v>286</v>
      </c>
      <c r="B52" s="865"/>
      <c r="C52" s="865"/>
      <c r="D52" s="865"/>
      <c r="E52" s="865"/>
      <c r="F52" s="865"/>
      <c r="G52" s="865"/>
      <c r="H52" s="865"/>
      <c r="I52" s="865"/>
      <c r="J52" s="865"/>
      <c r="K52" s="865"/>
      <c r="L52" s="866"/>
    </row>
    <row r="53" spans="1:12">
      <c r="A53" s="864" t="s">
        <v>287</v>
      </c>
      <c r="B53" s="865"/>
      <c r="C53" s="865"/>
      <c r="D53" s="865"/>
      <c r="E53" s="865"/>
      <c r="F53" s="865"/>
      <c r="G53" s="865"/>
      <c r="H53" s="865"/>
      <c r="I53" s="865"/>
      <c r="J53" s="865"/>
      <c r="K53" s="865"/>
      <c r="L53" s="866"/>
    </row>
    <row r="54" spans="1:12">
      <c r="A54" s="864"/>
      <c r="B54" s="865"/>
      <c r="C54" s="865"/>
      <c r="D54" s="865"/>
      <c r="E54" s="865"/>
      <c r="F54" s="865"/>
      <c r="G54" s="865"/>
      <c r="H54" s="865"/>
      <c r="I54" s="865"/>
      <c r="J54" s="865"/>
      <c r="K54" s="865"/>
      <c r="L54" s="866"/>
    </row>
    <row r="55" spans="1:12" ht="16.5">
      <c r="A55" s="864" t="s">
        <v>288</v>
      </c>
      <c r="B55" s="865"/>
      <c r="C55" s="865"/>
      <c r="D55" s="865"/>
      <c r="E55" s="865"/>
      <c r="F55" s="865"/>
      <c r="G55" s="865"/>
      <c r="H55" s="865"/>
      <c r="I55" s="865"/>
      <c r="J55" s="865"/>
      <c r="K55" s="865"/>
      <c r="L55" s="866"/>
    </row>
    <row r="56" spans="1:12" ht="15" thickBot="1">
      <c r="A56" s="773" t="s">
        <v>289</v>
      </c>
      <c r="B56" s="774"/>
      <c r="C56" s="774"/>
      <c r="D56" s="774"/>
      <c r="E56" s="774"/>
      <c r="F56" s="774"/>
      <c r="G56" s="774"/>
      <c r="H56" s="774"/>
      <c r="I56" s="774"/>
      <c r="J56" s="774"/>
      <c r="K56" s="774"/>
      <c r="L56" s="775"/>
    </row>
    <row r="57" spans="1:12">
      <c r="A57" s="340"/>
      <c r="B57" s="340"/>
      <c r="C57" s="340"/>
      <c r="D57" s="340"/>
      <c r="E57" s="340"/>
      <c r="F57" s="340"/>
      <c r="G57" s="340"/>
      <c r="H57" s="340"/>
      <c r="I57" s="340"/>
      <c r="J57" s="340"/>
      <c r="K57" s="340"/>
      <c r="L57" s="340"/>
    </row>
    <row r="58" spans="1:12">
      <c r="A58" s="340"/>
      <c r="B58" s="340"/>
      <c r="C58" s="340"/>
      <c r="D58" s="340"/>
      <c r="E58" s="340"/>
      <c r="F58" s="340"/>
      <c r="G58" s="340"/>
      <c r="H58" s="340"/>
      <c r="I58" s="340"/>
      <c r="J58" s="340"/>
      <c r="K58" s="340"/>
      <c r="L58" s="340"/>
    </row>
    <row r="59" spans="1:12">
      <c r="A59" s="340"/>
      <c r="B59" s="340"/>
      <c r="C59" s="340"/>
      <c r="D59" s="340"/>
      <c r="E59" s="340"/>
      <c r="F59" s="340"/>
      <c r="G59" s="340"/>
      <c r="H59" s="340"/>
      <c r="I59" s="340"/>
      <c r="J59" s="340"/>
      <c r="K59" s="340"/>
      <c r="L59" s="340"/>
    </row>
    <row r="60" spans="1:12">
      <c r="A60" s="340"/>
      <c r="B60" s="340"/>
      <c r="C60" s="340"/>
      <c r="D60" s="340"/>
      <c r="E60" s="340"/>
      <c r="F60" s="340"/>
      <c r="G60" s="340"/>
      <c r="H60" s="340"/>
      <c r="I60" s="340"/>
      <c r="J60" s="340"/>
      <c r="K60" s="340"/>
      <c r="L60" s="340"/>
    </row>
    <row r="61" spans="1:12">
      <c r="A61" s="340"/>
      <c r="B61" s="340"/>
      <c r="C61" s="340"/>
      <c r="D61" s="340"/>
      <c r="E61" s="340"/>
      <c r="F61" s="340"/>
      <c r="G61" s="340"/>
      <c r="H61" s="340"/>
      <c r="I61" s="340"/>
      <c r="J61" s="340"/>
      <c r="K61" s="340"/>
      <c r="L61" s="340"/>
    </row>
    <row r="62" spans="1:12">
      <c r="A62" s="340"/>
      <c r="B62" s="340"/>
      <c r="C62" s="340"/>
      <c r="D62" s="340"/>
      <c r="E62" s="340"/>
      <c r="F62" s="340"/>
      <c r="G62" s="340"/>
      <c r="H62" s="340"/>
      <c r="I62" s="340"/>
      <c r="J62" s="340"/>
      <c r="K62" s="340"/>
      <c r="L62" s="340"/>
    </row>
    <row r="63" spans="1:12">
      <c r="A63" s="340"/>
      <c r="B63" s="340"/>
      <c r="C63" s="340"/>
      <c r="D63" s="340"/>
      <c r="E63" s="340"/>
      <c r="F63" s="340"/>
      <c r="G63" s="340"/>
      <c r="H63" s="340"/>
      <c r="I63" s="340"/>
      <c r="J63" s="340"/>
      <c r="K63" s="340"/>
      <c r="L63" s="340"/>
    </row>
    <row r="64" spans="1:12">
      <c r="A64" s="340"/>
      <c r="B64" s="340"/>
      <c r="C64" s="340"/>
      <c r="D64" s="340"/>
      <c r="E64" s="340"/>
      <c r="F64" s="340"/>
      <c r="G64" s="340"/>
      <c r="H64" s="340"/>
      <c r="I64" s="340"/>
      <c r="J64" s="340"/>
      <c r="K64" s="340"/>
      <c r="L64" s="340"/>
    </row>
    <row r="65" spans="1:12">
      <c r="A65" s="340"/>
      <c r="B65" s="340"/>
      <c r="C65" s="340"/>
      <c r="D65" s="340"/>
      <c r="E65" s="340"/>
      <c r="F65" s="340"/>
      <c r="G65" s="340"/>
      <c r="H65" s="340"/>
      <c r="I65" s="340"/>
      <c r="J65" s="340"/>
      <c r="K65" s="340"/>
      <c r="L65" s="340"/>
    </row>
    <row r="66" spans="1:12">
      <c r="A66" s="340"/>
      <c r="B66" s="340"/>
      <c r="C66" s="340"/>
      <c r="D66" s="340"/>
      <c r="E66" s="340"/>
      <c r="F66" s="340"/>
      <c r="G66" s="340"/>
      <c r="H66" s="340"/>
      <c r="I66" s="340"/>
      <c r="J66" s="340"/>
      <c r="K66" s="340"/>
      <c r="L66" s="340"/>
    </row>
    <row r="67" spans="1:12">
      <c r="A67" s="340"/>
      <c r="B67" s="340"/>
      <c r="C67" s="340"/>
      <c r="D67" s="340"/>
      <c r="E67" s="340"/>
      <c r="F67" s="340"/>
      <c r="G67" s="340"/>
      <c r="H67" s="340"/>
      <c r="I67" s="340"/>
      <c r="J67" s="340"/>
      <c r="K67" s="340"/>
      <c r="L67" s="340"/>
    </row>
    <row r="68" spans="1:12">
      <c r="A68" s="340"/>
      <c r="B68" s="340"/>
      <c r="C68" s="340"/>
      <c r="D68" s="340"/>
      <c r="E68" s="340"/>
      <c r="F68" s="340"/>
      <c r="G68" s="340"/>
      <c r="H68" s="340"/>
      <c r="I68" s="340"/>
      <c r="J68" s="340"/>
      <c r="K68" s="340"/>
      <c r="L68" s="340"/>
    </row>
    <row r="69" spans="1:12">
      <c r="A69" s="340"/>
      <c r="B69" s="340"/>
      <c r="C69" s="340"/>
      <c r="D69" s="340"/>
      <c r="E69" s="340"/>
      <c r="F69" s="340"/>
      <c r="G69" s="340"/>
      <c r="H69" s="340"/>
      <c r="I69" s="340"/>
      <c r="J69" s="340"/>
      <c r="K69" s="340"/>
      <c r="L69" s="340"/>
    </row>
    <row r="70" spans="1:12">
      <c r="A70" s="340"/>
      <c r="B70" s="340"/>
      <c r="C70" s="340"/>
      <c r="D70" s="340"/>
      <c r="E70" s="340"/>
      <c r="F70" s="340"/>
      <c r="G70" s="340"/>
      <c r="H70" s="340"/>
      <c r="I70" s="340"/>
      <c r="J70" s="340"/>
      <c r="K70" s="340"/>
      <c r="L70" s="340"/>
    </row>
    <row r="71" spans="1:12">
      <c r="A71" s="478"/>
      <c r="B71" s="478"/>
      <c r="C71" s="478"/>
      <c r="D71" s="478"/>
      <c r="E71" s="478"/>
      <c r="F71" s="478"/>
      <c r="G71" s="478"/>
      <c r="H71" s="478"/>
      <c r="I71" s="478"/>
      <c r="J71" s="478"/>
      <c r="K71" s="478"/>
      <c r="L71" s="478"/>
    </row>
    <row r="72" spans="1:12">
      <c r="A72" s="478"/>
      <c r="B72" s="478"/>
      <c r="C72" s="478"/>
      <c r="D72" s="478"/>
      <c r="E72" s="478"/>
      <c r="F72" s="478"/>
      <c r="G72" s="478"/>
      <c r="H72" s="478"/>
      <c r="I72" s="478"/>
      <c r="J72" s="478"/>
      <c r="K72" s="478"/>
      <c r="L72" s="478"/>
    </row>
  </sheetData>
  <sheetProtection algorithmName="SHA-512" hashValue="QUlj9uBGcDIYYPb6lewRYWBfm05RcJyBoXw6MUJSrArn54YOfpFiS1EDRlGNhyz0yY+OdDnCXEzx5AQ58IR/Jg==" saltValue="Glq9x31qDJTvHWmnFhTV2w==" spinCount="100000" sheet="1" objects="1" scenarios="1"/>
  <protectedRanges>
    <protectedRange password="E285" sqref="H34:H37 H41:H42 I14:L14" name="Range1_1"/>
  </protectedRanges>
  <mergeCells count="61">
    <mergeCell ref="A9:H9"/>
    <mergeCell ref="G1:L1"/>
    <mergeCell ref="A6:L6"/>
    <mergeCell ref="A7:L7"/>
    <mergeCell ref="A8:L8"/>
    <mergeCell ref="A19:H19"/>
    <mergeCell ref="A10:G10"/>
    <mergeCell ref="A11:G11"/>
    <mergeCell ref="A12:G12"/>
    <mergeCell ref="J12:L12"/>
    <mergeCell ref="A13:G13"/>
    <mergeCell ref="A14:G14"/>
    <mergeCell ref="A15:G15"/>
    <mergeCell ref="I15:L16"/>
    <mergeCell ref="A16:G16"/>
    <mergeCell ref="A17:G17"/>
    <mergeCell ref="A18:G18"/>
    <mergeCell ref="A28:H28"/>
    <mergeCell ref="A20:G20"/>
    <mergeCell ref="H20:H21"/>
    <mergeCell ref="I20:I21"/>
    <mergeCell ref="J20:L21"/>
    <mergeCell ref="A21:G21"/>
    <mergeCell ref="A22:G22"/>
    <mergeCell ref="A23:G23"/>
    <mergeCell ref="A24:G24"/>
    <mergeCell ref="A25:G25"/>
    <mergeCell ref="A26:G26"/>
    <mergeCell ref="A27:G27"/>
    <mergeCell ref="A37:G37"/>
    <mergeCell ref="A29:G29"/>
    <mergeCell ref="H29:H30"/>
    <mergeCell ref="I29:I30"/>
    <mergeCell ref="J29:L30"/>
    <mergeCell ref="A30:G30"/>
    <mergeCell ref="A31:G31"/>
    <mergeCell ref="A32:G32"/>
    <mergeCell ref="A33:H33"/>
    <mergeCell ref="A34:G34"/>
    <mergeCell ref="A35:G35"/>
    <mergeCell ref="A36:G36"/>
    <mergeCell ref="A48:L48"/>
    <mergeCell ref="A38:G38"/>
    <mergeCell ref="A39:G39"/>
    <mergeCell ref="A40:H40"/>
    <mergeCell ref="A41:G41"/>
    <mergeCell ref="A42:G42"/>
    <mergeCell ref="I42:L42"/>
    <mergeCell ref="A43:L43"/>
    <mergeCell ref="A44:L44"/>
    <mergeCell ref="A45:L45"/>
    <mergeCell ref="A46:L46"/>
    <mergeCell ref="A47:L47"/>
    <mergeCell ref="A55:L55"/>
    <mergeCell ref="A56:L56"/>
    <mergeCell ref="A49:L49"/>
    <mergeCell ref="A50:L50"/>
    <mergeCell ref="A51:L51"/>
    <mergeCell ref="A52:L52"/>
    <mergeCell ref="A53:L53"/>
    <mergeCell ref="A54:L54"/>
  </mergeCells>
  <pageMargins left="0.7" right="0.7" top="0.75" bottom="0.75" header="0.3" footer="0.55000000000000004"/>
  <pageSetup scale="70" fitToHeight="0" orientation="portrait" r:id="rId1"/>
  <headerFooter>
    <oddFooter>&amp;R&amp;10Revision 1/Date 3/2020</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J69"/>
  <sheetViews>
    <sheetView topLeftCell="A2" zoomScale="90" zoomScaleNormal="90" workbookViewId="0">
      <selection activeCell="A4" sqref="A4:F17"/>
    </sheetView>
  </sheetViews>
  <sheetFormatPr defaultColWidth="9.140625" defaultRowHeight="12.95"/>
  <cols>
    <col min="1" max="10" width="20.7109375" style="444" customWidth="1"/>
    <col min="11" max="16384" width="9.140625" style="444"/>
  </cols>
  <sheetData>
    <row r="1" spans="1:6" s="421" customFormat="1" ht="153.75" customHeight="1" thickBot="1">
      <c r="A1" s="847" t="s">
        <v>290</v>
      </c>
      <c r="B1" s="848"/>
      <c r="C1" s="848"/>
      <c r="D1" s="849"/>
      <c r="E1" s="850"/>
      <c r="F1" s="851"/>
    </row>
    <row r="2" spans="1:6" s="421" customFormat="1" ht="15" customHeight="1">
      <c r="A2" s="479"/>
      <c r="B2" s="480"/>
      <c r="C2" s="480"/>
      <c r="D2" s="481"/>
      <c r="E2" s="481"/>
      <c r="F2" s="482"/>
    </row>
    <row r="3" spans="1:6" s="421" customFormat="1" ht="15" customHeight="1">
      <c r="A3" s="479"/>
      <c r="B3" s="480"/>
      <c r="C3" s="480"/>
      <c r="D3" s="481"/>
      <c r="E3" s="481"/>
      <c r="F3" s="482"/>
    </row>
    <row r="4" spans="1:6" s="421" customFormat="1" ht="15" customHeight="1">
      <c r="A4" s="479"/>
      <c r="B4" s="480"/>
      <c r="C4" s="480"/>
      <c r="D4" s="481"/>
      <c r="E4" s="481"/>
      <c r="F4" s="482"/>
    </row>
    <row r="5" spans="1:6" s="421" customFormat="1" ht="15" customHeight="1" thickBot="1">
      <c r="A5" s="852"/>
      <c r="B5" s="853"/>
      <c r="C5" s="853"/>
      <c r="D5" s="853"/>
      <c r="E5" s="853"/>
      <c r="F5" s="854"/>
    </row>
    <row r="6" spans="1:6" s="421" customFormat="1" ht="27" customHeight="1">
      <c r="A6" s="838" t="s">
        <v>291</v>
      </c>
      <c r="B6" s="839"/>
      <c r="C6" s="839"/>
      <c r="D6" s="839"/>
      <c r="E6" s="839"/>
      <c r="F6" s="840"/>
    </row>
    <row r="7" spans="1:6" s="421" customFormat="1" ht="15" customHeight="1">
      <c r="A7" s="855" t="s">
        <v>292</v>
      </c>
      <c r="B7" s="856"/>
      <c r="C7" s="856"/>
      <c r="D7" s="856"/>
      <c r="E7" s="856"/>
      <c r="F7" s="857"/>
    </row>
    <row r="8" spans="1:6" s="421" customFormat="1" ht="15" customHeight="1">
      <c r="A8" s="844"/>
      <c r="B8" s="845"/>
      <c r="C8" s="845"/>
      <c r="D8" s="845"/>
      <c r="E8" s="845"/>
      <c r="F8" s="846"/>
    </row>
    <row r="9" spans="1:6" ht="15" customHeight="1">
      <c r="A9" s="844"/>
      <c r="B9" s="845"/>
      <c r="C9" s="845"/>
      <c r="D9" s="845"/>
      <c r="E9" s="845"/>
      <c r="F9" s="846"/>
    </row>
    <row r="10" spans="1:6" ht="15" customHeight="1">
      <c r="A10" s="844"/>
      <c r="B10" s="845"/>
      <c r="C10" s="845"/>
      <c r="D10" s="845"/>
      <c r="E10" s="845"/>
      <c r="F10" s="846"/>
    </row>
    <row r="11" spans="1:6" s="445" customFormat="1" ht="14.25" customHeight="1">
      <c r="A11" s="844"/>
      <c r="B11" s="845"/>
      <c r="C11" s="845"/>
      <c r="D11" s="845"/>
      <c r="E11" s="845"/>
      <c r="F11" s="846"/>
    </row>
    <row r="12" spans="1:6" ht="15" customHeight="1">
      <c r="A12" s="844"/>
      <c r="B12" s="845"/>
      <c r="C12" s="845"/>
      <c r="D12" s="845"/>
      <c r="E12" s="845"/>
      <c r="F12" s="846"/>
    </row>
    <row r="13" spans="1:6" ht="15" customHeight="1">
      <c r="A13" s="844"/>
      <c r="B13" s="845"/>
      <c r="C13" s="845"/>
      <c r="D13" s="845"/>
      <c r="E13" s="845"/>
      <c r="F13" s="846"/>
    </row>
    <row r="14" spans="1:6" ht="15" customHeight="1">
      <c r="A14" s="844"/>
      <c r="B14" s="845"/>
      <c r="C14" s="845"/>
      <c r="D14" s="845"/>
      <c r="E14" s="845"/>
      <c r="F14" s="846"/>
    </row>
    <row r="15" spans="1:6" ht="15" customHeight="1">
      <c r="A15" s="844"/>
      <c r="B15" s="845"/>
      <c r="C15" s="845"/>
      <c r="D15" s="845"/>
      <c r="E15" s="845"/>
      <c r="F15" s="846"/>
    </row>
    <row r="16" spans="1:6" ht="15" customHeight="1">
      <c r="A16" s="844"/>
      <c r="B16" s="845"/>
      <c r="C16" s="845"/>
      <c r="D16" s="845"/>
      <c r="E16" s="845"/>
      <c r="F16" s="846"/>
    </row>
    <row r="17" spans="1:6" ht="15" customHeight="1" thickBot="1">
      <c r="A17" s="858"/>
      <c r="B17" s="859"/>
      <c r="C17" s="859"/>
      <c r="D17" s="859"/>
      <c r="E17" s="859"/>
      <c r="F17" s="860"/>
    </row>
    <row r="18" spans="1:6" ht="15" customHeight="1">
      <c r="A18" s="483"/>
      <c r="B18" s="484"/>
      <c r="C18" s="484"/>
      <c r="D18" s="485"/>
      <c r="E18" s="486"/>
      <c r="F18" s="487"/>
    </row>
    <row r="19" spans="1:6" ht="15" customHeight="1">
      <c r="A19" s="483"/>
      <c r="B19" s="484"/>
      <c r="C19" s="484"/>
      <c r="D19" s="485"/>
      <c r="E19" s="486"/>
      <c r="F19" s="487"/>
    </row>
    <row r="20" spans="1:6" ht="15" customHeight="1" thickBot="1">
      <c r="A20" s="488"/>
      <c r="B20" s="478"/>
      <c r="C20" s="489"/>
      <c r="D20" s="489"/>
      <c r="E20" s="489"/>
      <c r="F20" s="490"/>
    </row>
    <row r="21" spans="1:6" ht="27" customHeight="1" thickBot="1">
      <c r="A21" s="838" t="s">
        <v>293</v>
      </c>
      <c r="B21" s="839"/>
      <c r="C21" s="839"/>
      <c r="D21" s="839"/>
      <c r="E21" s="839"/>
      <c r="F21" s="840"/>
    </row>
    <row r="22" spans="1:6" ht="15" customHeight="1">
      <c r="A22" s="841" t="s">
        <v>294</v>
      </c>
      <c r="B22" s="842"/>
      <c r="C22" s="842"/>
      <c r="D22" s="842"/>
      <c r="E22" s="842"/>
      <c r="F22" s="843"/>
    </row>
    <row r="23" spans="1:6" ht="15" customHeight="1">
      <c r="A23" s="844"/>
      <c r="B23" s="845"/>
      <c r="C23" s="845"/>
      <c r="D23" s="845"/>
      <c r="E23" s="845"/>
      <c r="F23" s="846"/>
    </row>
    <row r="24" spans="1:6" ht="14.25" customHeight="1">
      <c r="A24" s="844"/>
      <c r="B24" s="845"/>
      <c r="C24" s="845"/>
      <c r="D24" s="845"/>
      <c r="E24" s="845"/>
      <c r="F24" s="846"/>
    </row>
    <row r="25" spans="1:6" ht="14.25" customHeight="1">
      <c r="A25" s="844"/>
      <c r="B25" s="845"/>
      <c r="C25" s="845"/>
      <c r="D25" s="845"/>
      <c r="E25" s="845"/>
      <c r="F25" s="846"/>
    </row>
    <row r="26" spans="1:6" ht="14.25" customHeight="1">
      <c r="A26" s="844"/>
      <c r="B26" s="845"/>
      <c r="C26" s="845"/>
      <c r="D26" s="845"/>
      <c r="E26" s="845"/>
      <c r="F26" s="846"/>
    </row>
    <row r="27" spans="1:6" ht="14.25" customHeight="1">
      <c r="A27" s="844"/>
      <c r="B27" s="845"/>
      <c r="C27" s="845"/>
      <c r="D27" s="845"/>
      <c r="E27" s="845"/>
      <c r="F27" s="846"/>
    </row>
    <row r="28" spans="1:6" ht="15" customHeight="1">
      <c r="A28" s="844"/>
      <c r="B28" s="845"/>
      <c r="C28" s="845"/>
      <c r="D28" s="845"/>
      <c r="E28" s="845"/>
      <c r="F28" s="846"/>
    </row>
    <row r="29" spans="1:6" ht="15" customHeight="1">
      <c r="A29" s="844"/>
      <c r="B29" s="845"/>
      <c r="C29" s="845"/>
      <c r="D29" s="845"/>
      <c r="E29" s="845"/>
      <c r="F29" s="846"/>
    </row>
    <row r="30" spans="1:6" ht="15" customHeight="1">
      <c r="A30" s="844"/>
      <c r="B30" s="845"/>
      <c r="C30" s="845"/>
      <c r="D30" s="845"/>
      <c r="E30" s="845"/>
      <c r="F30" s="846"/>
    </row>
    <row r="31" spans="1:6" ht="15" customHeight="1">
      <c r="A31" s="844"/>
      <c r="B31" s="845"/>
      <c r="C31" s="845"/>
      <c r="D31" s="845"/>
      <c r="E31" s="845"/>
      <c r="F31" s="846"/>
    </row>
    <row r="32" spans="1:6" ht="15" customHeight="1">
      <c r="A32" s="844"/>
      <c r="B32" s="845"/>
      <c r="C32" s="845"/>
      <c r="D32" s="845"/>
      <c r="E32" s="845"/>
      <c r="F32" s="846"/>
    </row>
    <row r="33" spans="1:8" ht="15" customHeight="1">
      <c r="A33" s="844"/>
      <c r="B33" s="845"/>
      <c r="C33" s="845"/>
      <c r="D33" s="845"/>
      <c r="E33" s="845"/>
      <c r="F33" s="846"/>
      <c r="H33" s="478"/>
    </row>
    <row r="34" spans="1:8" ht="15" customHeight="1">
      <c r="A34" s="844"/>
      <c r="B34" s="845"/>
      <c r="C34" s="845"/>
      <c r="D34" s="845"/>
      <c r="E34" s="845"/>
      <c r="F34" s="846"/>
      <c r="H34" s="478"/>
    </row>
    <row r="35" spans="1:8" ht="15" customHeight="1">
      <c r="A35" s="844"/>
      <c r="B35" s="845"/>
      <c r="C35" s="845"/>
      <c r="D35" s="845"/>
      <c r="E35" s="845"/>
      <c r="F35" s="846"/>
      <c r="H35" s="478"/>
    </row>
    <row r="36" spans="1:8" ht="15" customHeight="1">
      <c r="A36" s="844"/>
      <c r="B36" s="845"/>
      <c r="C36" s="845"/>
      <c r="D36" s="845"/>
      <c r="E36" s="845"/>
      <c r="F36" s="846"/>
      <c r="H36" s="478"/>
    </row>
    <row r="37" spans="1:8" ht="15" customHeight="1">
      <c r="A37" s="844"/>
      <c r="B37" s="845"/>
      <c r="C37" s="845"/>
      <c r="D37" s="845"/>
      <c r="E37" s="845"/>
      <c r="F37" s="846"/>
      <c r="H37" s="478"/>
    </row>
    <row r="38" spans="1:8" s="491" customFormat="1" ht="15" customHeight="1">
      <c r="A38" s="844"/>
      <c r="B38" s="845"/>
      <c r="C38" s="845"/>
      <c r="D38" s="845"/>
      <c r="E38" s="845"/>
      <c r="F38" s="846"/>
    </row>
    <row r="39" spans="1:8" s="491" customFormat="1" ht="15" customHeight="1">
      <c r="A39" s="844"/>
      <c r="B39" s="845"/>
      <c r="C39" s="845"/>
      <c r="D39" s="845"/>
      <c r="E39" s="845"/>
      <c r="F39" s="846"/>
    </row>
    <row r="40" spans="1:8" s="491" customFormat="1" ht="15" customHeight="1">
      <c r="A40" s="844"/>
      <c r="B40" s="845"/>
      <c r="C40" s="845"/>
      <c r="D40" s="845"/>
      <c r="E40" s="845"/>
      <c r="F40" s="846"/>
    </row>
    <row r="41" spans="1:8" s="491" customFormat="1" ht="15" customHeight="1">
      <c r="A41" s="844"/>
      <c r="B41" s="845"/>
      <c r="C41" s="845"/>
      <c r="D41" s="845"/>
      <c r="E41" s="845"/>
      <c r="F41" s="846"/>
    </row>
    <row r="42" spans="1:8" s="491" customFormat="1" ht="15" customHeight="1">
      <c r="A42" s="492"/>
      <c r="B42" s="493"/>
      <c r="C42" s="493"/>
      <c r="D42" s="493"/>
      <c r="E42" s="493"/>
      <c r="F42" s="494"/>
    </row>
    <row r="43" spans="1:8" ht="15" customHeight="1">
      <c r="A43" s="488"/>
      <c r="B43" s="478"/>
      <c r="C43" s="478"/>
      <c r="D43" s="478"/>
      <c r="E43" s="478"/>
      <c r="F43" s="495"/>
    </row>
    <row r="44" spans="1:8" ht="15" customHeight="1">
      <c r="A44" s="488"/>
      <c r="B44" s="478"/>
      <c r="C44" s="478"/>
      <c r="D44" s="478"/>
      <c r="E44" s="478"/>
      <c r="F44" s="495"/>
    </row>
    <row r="45" spans="1:8" ht="15" customHeight="1">
      <c r="A45" s="488"/>
      <c r="B45" s="478"/>
      <c r="C45" s="478"/>
      <c r="D45" s="478"/>
      <c r="E45" s="478"/>
      <c r="F45" s="495"/>
    </row>
    <row r="46" spans="1:8" ht="15" customHeight="1">
      <c r="A46" s="488"/>
      <c r="B46" s="478"/>
      <c r="C46" s="478"/>
      <c r="D46" s="478"/>
      <c r="E46" s="478"/>
      <c r="F46" s="495"/>
    </row>
    <row r="47" spans="1:8" ht="15" customHeight="1">
      <c r="A47" s="488"/>
      <c r="B47" s="478"/>
      <c r="C47" s="478"/>
      <c r="D47" s="478"/>
      <c r="E47" s="478"/>
      <c r="F47" s="495"/>
    </row>
    <row r="48" spans="1:8" ht="15" customHeight="1">
      <c r="A48" s="488"/>
      <c r="B48" s="478"/>
      <c r="C48" s="478"/>
      <c r="D48" s="478"/>
      <c r="E48" s="478"/>
      <c r="F48" s="495"/>
    </row>
    <row r="49" spans="1:10" ht="15" customHeight="1">
      <c r="A49" s="488"/>
      <c r="B49" s="478"/>
      <c r="C49" s="478"/>
      <c r="D49" s="478"/>
      <c r="E49" s="478"/>
      <c r="F49" s="495"/>
    </row>
    <row r="50" spans="1:10" ht="15" customHeight="1">
      <c r="A50" s="488"/>
      <c r="B50" s="478"/>
      <c r="C50" s="478"/>
      <c r="D50" s="478"/>
      <c r="E50" s="478"/>
      <c r="F50" s="495"/>
    </row>
    <row r="51" spans="1:10" ht="15" customHeight="1" thickBot="1">
      <c r="A51" s="463"/>
      <c r="B51" s="464"/>
      <c r="C51" s="464"/>
      <c r="D51" s="464"/>
      <c r="E51" s="464"/>
      <c r="F51" s="496"/>
    </row>
    <row r="52" spans="1:10" ht="15" customHeight="1">
      <c r="A52" s="478"/>
      <c r="B52" s="478"/>
      <c r="C52" s="478"/>
      <c r="D52" s="478"/>
      <c r="E52" s="478"/>
      <c r="F52" s="478"/>
    </row>
    <row r="53" spans="1:10" ht="15" customHeight="1">
      <c r="A53" s="478"/>
      <c r="B53" s="478"/>
      <c r="C53" s="478"/>
      <c r="D53" s="478"/>
      <c r="E53" s="478"/>
      <c r="F53" s="478"/>
    </row>
    <row r="54" spans="1:10" ht="15" customHeight="1">
      <c r="A54" s="478"/>
      <c r="B54" s="478"/>
      <c r="C54" s="478"/>
      <c r="D54" s="478"/>
      <c r="E54" s="478"/>
      <c r="F54" s="478"/>
    </row>
    <row r="55" spans="1:10" ht="15" customHeight="1">
      <c r="A55" s="478"/>
      <c r="B55" s="478"/>
      <c r="C55" s="478"/>
      <c r="D55" s="478"/>
      <c r="E55" s="478"/>
      <c r="F55" s="478"/>
    </row>
    <row r="56" spans="1:10" ht="15" customHeight="1">
      <c r="A56" s="478"/>
      <c r="B56" s="478"/>
      <c r="C56" s="478"/>
      <c r="D56" s="478"/>
      <c r="E56" s="478"/>
      <c r="F56" s="478"/>
    </row>
    <row r="57" spans="1:10" ht="15" customHeight="1">
      <c r="A57" s="478"/>
      <c r="B57" s="478"/>
      <c r="C57" s="478"/>
      <c r="D57" s="478"/>
      <c r="E57" s="478"/>
      <c r="F57" s="478"/>
      <c r="J57" s="491"/>
    </row>
    <row r="58" spans="1:10" ht="15" customHeight="1">
      <c r="A58" s="478"/>
      <c r="B58" s="478"/>
      <c r="C58" s="478"/>
      <c r="D58" s="478"/>
      <c r="E58" s="478"/>
      <c r="F58" s="478"/>
    </row>
    <row r="59" spans="1:10" ht="15" customHeight="1">
      <c r="A59" s="478"/>
      <c r="B59" s="478"/>
      <c r="C59" s="478"/>
      <c r="D59" s="478"/>
      <c r="E59" s="478"/>
      <c r="F59" s="478"/>
    </row>
    <row r="60" spans="1:10" ht="15" customHeight="1">
      <c r="A60" s="478"/>
      <c r="B60" s="478"/>
      <c r="C60" s="478"/>
      <c r="D60" s="478"/>
      <c r="E60" s="478"/>
      <c r="F60" s="478"/>
    </row>
    <row r="61" spans="1:10" ht="15" customHeight="1">
      <c r="A61" s="478"/>
      <c r="B61" s="478"/>
      <c r="C61" s="478"/>
      <c r="D61" s="478"/>
      <c r="E61" s="478"/>
      <c r="F61" s="478"/>
    </row>
    <row r="62" spans="1:10" ht="15" customHeight="1">
      <c r="A62" s="478"/>
      <c r="B62" s="478"/>
      <c r="C62" s="478"/>
      <c r="D62" s="478"/>
      <c r="E62" s="478"/>
      <c r="F62" s="478"/>
    </row>
    <row r="63" spans="1:10" ht="15" customHeight="1">
      <c r="A63" s="478"/>
      <c r="B63" s="478"/>
      <c r="C63" s="478"/>
      <c r="D63" s="478"/>
      <c r="E63" s="478"/>
      <c r="F63" s="478"/>
    </row>
    <row r="64" spans="1:10" ht="15" customHeight="1">
      <c r="A64" s="478"/>
      <c r="B64" s="478"/>
      <c r="C64" s="478"/>
      <c r="D64" s="478"/>
      <c r="E64" s="478"/>
      <c r="F64" s="478"/>
    </row>
    <row r="65" spans="1:6" ht="14.45">
      <c r="A65" s="478"/>
      <c r="B65" s="478"/>
      <c r="C65" s="478"/>
      <c r="D65" s="478"/>
      <c r="E65" s="478"/>
      <c r="F65" s="478"/>
    </row>
    <row r="66" spans="1:6" ht="14.45">
      <c r="A66" s="478"/>
      <c r="B66" s="478"/>
      <c r="C66" s="478"/>
      <c r="D66" s="478"/>
      <c r="E66" s="478"/>
      <c r="F66" s="478"/>
    </row>
    <row r="67" spans="1:6" ht="14.45">
      <c r="A67" s="478"/>
      <c r="B67" s="478"/>
      <c r="C67" s="478"/>
      <c r="D67" s="478"/>
      <c r="E67" s="478"/>
      <c r="F67" s="478"/>
    </row>
    <row r="68" spans="1:6" ht="14.45">
      <c r="A68" s="478"/>
      <c r="B68" s="478"/>
      <c r="C68" s="478"/>
      <c r="D68" s="478"/>
      <c r="E68" s="478"/>
      <c r="F68" s="478"/>
    </row>
    <row r="69" spans="1:6" ht="14.45">
      <c r="A69" s="478"/>
      <c r="B69" s="478"/>
      <c r="C69" s="478"/>
      <c r="D69" s="478"/>
      <c r="E69" s="478"/>
      <c r="F69" s="478"/>
    </row>
  </sheetData>
  <sheetProtection algorithmName="SHA-512" hashValue="XX2Ugyfi03PAf/Uo3PZgMV0kDpaIQYLcxeyes6RP2NuAbjnCcj8kIvB9gc0y6Kp7BtF+1oxbXIdiyQrm+MLWlw==" saltValue="q6+/Qep4NHfFz8ew4/KkAw==" spinCount="100000" sheet="1" objects="1" scenarios="1"/>
  <mergeCells count="7">
    <mergeCell ref="A21:F21"/>
    <mergeCell ref="A22:F41"/>
    <mergeCell ref="A1:C1"/>
    <mergeCell ref="D1:F1"/>
    <mergeCell ref="A5:F5"/>
    <mergeCell ref="A6:F6"/>
    <mergeCell ref="A7:F17"/>
  </mergeCells>
  <pageMargins left="0.7" right="0.7" top="0.75" bottom="0.75" header="0.3" footer="0.55000000000000004"/>
  <pageSetup scale="70" orientation="portrait" r:id="rId1"/>
  <headerFooter>
    <oddFooter>&amp;R&amp;10Revision 1/Date 12/2019</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780f7ded-741a-4777-8ebf-9f0bd85941f2" xsi:nil="true"/>
    <lcf76f155ced4ddcb4097134ff3c332f xmlns="bcb70af0-2f89-464f-a631-acc6588223c5">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D06A344D4865C42ACCD6C7A6C32C67D" ma:contentTypeVersion="18" ma:contentTypeDescription="Create a new document." ma:contentTypeScope="" ma:versionID="895d8603196f8257d05e36f2fcc98291">
  <xsd:schema xmlns:xsd="http://www.w3.org/2001/XMLSchema" xmlns:xs="http://www.w3.org/2001/XMLSchema" xmlns:p="http://schemas.microsoft.com/office/2006/metadata/properties" xmlns:ns2="bcb70af0-2f89-464f-a631-acc6588223c5" xmlns:ns3="780f7ded-741a-4777-8ebf-9f0bd85941f2" targetNamespace="http://schemas.microsoft.com/office/2006/metadata/properties" ma:root="true" ma:fieldsID="ca458dfb0704a3ffa915a22e46a1d248" ns2:_="" ns3:_="">
    <xsd:import namespace="bcb70af0-2f89-464f-a631-acc6588223c5"/>
    <xsd:import namespace="780f7ded-741a-4777-8ebf-9f0bd85941f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AutoKeyPoints" minOccurs="0"/>
                <xsd:element ref="ns2:MediaServiceKeyPoints"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b70af0-2f89-464f-a631-acc6588223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d63bfc26-fb64-4a2e-abbf-b42fae0f707c" ma:termSetId="09814cd3-568e-fe90-9814-8d621ff8fb84" ma:anchorId="fba54fb3-c3e1-fe81-a776-ca4b69148c4d" ma:open="true" ma:isKeyword="false">
      <xsd:complexType>
        <xsd:sequence>
          <xsd:element ref="pc:Terms" minOccurs="0" maxOccurs="1"/>
        </xsd:sequence>
      </xsd:complex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80f7ded-741a-4777-8ebf-9f0bd85941f2"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e5d8947b-b95a-4671-80bf-eb2a5fe2ee9c}" ma:internalName="TaxCatchAll" ma:showField="CatchAllData" ma:web="780f7ded-741a-4777-8ebf-9f0bd85941f2">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1808F6-2FA2-4975-8947-000E29738772}"/>
</file>

<file path=customXml/itemProps2.xml><?xml version="1.0" encoding="utf-8"?>
<ds:datastoreItem xmlns:ds="http://schemas.openxmlformats.org/officeDocument/2006/customXml" ds:itemID="{AA345CF1-E4A3-410E-BBD4-ACFEB5A09EC5}"/>
</file>

<file path=customXml/itemProps3.xml><?xml version="1.0" encoding="utf-8"?>
<ds:datastoreItem xmlns:ds="http://schemas.openxmlformats.org/officeDocument/2006/customXml" ds:itemID="{031DE6BA-1692-4133-8DED-98F71606319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Gabriela Mariscal</dc:creator>
  <cp:keywords/>
  <dc:description/>
  <cp:lastModifiedBy/>
  <cp:revision/>
  <dcterms:created xsi:type="dcterms:W3CDTF">2006-09-16T00:00:00Z</dcterms:created>
  <dcterms:modified xsi:type="dcterms:W3CDTF">2024-10-09T19:57:41Z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0x0101000D06A344D4865C42ACCD6C7A6C32C67D</vt:lpwstr>
  </property>
  <property fmtid="{D5CDD505-2E9C-101B-9397-08002B2CF9AE}" pid="3" name="Order">
    <vt:r8>378000</vt:r8>
  </property>
  <property fmtid="{D5CDD505-2E9C-101B-9397-08002B2CF9AE}" pid="4" name="MediaServiceImageTags">
    <vt:lpwstr/>
  </property>
</Properties>
</file>